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0f59eb96f134a33/LL WEEBLY/Minutes and Financial Reports/Budget 2023/"/>
    </mc:Choice>
  </mc:AlternateContent>
  <xr:revisionPtr revIDLastSave="3" documentId="8_{074D10DD-32E4-4916-89A2-0AD93D96FF7F}" xr6:coauthVersionLast="47" xr6:coauthVersionMax="47" xr10:uidLastSave="{39B95778-C445-46D7-BD77-7F7870298A6E}"/>
  <bookViews>
    <workbookView xWindow="-120" yWindow="-120" windowWidth="29040" windowHeight="15720" tabRatio="439" xr2:uid="{00000000-000D-0000-FFFF-FFFF00000000}"/>
  </bookViews>
  <sheets>
    <sheet name="Sch A1" sheetId="1" r:id="rId1"/>
    <sheet name="Reserve Comparison" sheetId="8" r:id="rId2"/>
  </sheets>
  <externalReferences>
    <externalReference r:id="rId3"/>
  </externalReferences>
  <definedNames>
    <definedName name="_1E_MAINT1">'Sch A1'!$D$9</definedName>
    <definedName name="_2P_ESP1">'Sch A1'!$F$76</definedName>
    <definedName name="_3PY_MAINT1">'Sch A1'!$E$9</definedName>
    <definedName name="_4RES_1">#REF!</definedName>
    <definedName name="_6RES_1_M">#REF!</definedName>
    <definedName name="_7SCH_A1">'Sch A1'!$A$1:$F$92</definedName>
    <definedName name="_8SCH_A1_WS">'Sch A1'!$A$1:$F$92</definedName>
    <definedName name="_NUM2">'Sch A1'!$D$87</definedName>
    <definedName name="_NUM3">'Sch A1'!$D$89</definedName>
    <definedName name="_NUN1">'Sch A1'!$D$89</definedName>
    <definedName name="_PF1">#REF!</definedName>
    <definedName name="DATA2">'Sch A1'!$A$1:$F$889</definedName>
    <definedName name="DATE">'Sch A1'!#REF!</definedName>
    <definedName name="FREQ">'Sch A1'!$D$91</definedName>
    <definedName name="_xlnm.Print_Area" localSheetId="0">'Sch A1'!$A$1:$F$91</definedName>
    <definedName name="_xlnm.Print_Area">'Sch A1'!$A$1:$F$91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5" i="8" l="1"/>
  <c r="K38" i="8" l="1"/>
  <c r="G70" i="8"/>
  <c r="AM49" i="8"/>
  <c r="AL49" i="8"/>
  <c r="AK49" i="8"/>
  <c r="AJ49" i="8"/>
  <c r="AI49" i="8"/>
  <c r="AH49" i="8"/>
  <c r="AG49" i="8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J51" i="8" s="1"/>
  <c r="I49" i="8"/>
  <c r="I51" i="8" s="1"/>
  <c r="I52" i="8" s="1"/>
  <c r="G49" i="8"/>
  <c r="G51" i="8" s="1"/>
  <c r="G52" i="8" s="1"/>
  <c r="F49" i="8"/>
  <c r="AS48" i="8"/>
  <c r="AM44" i="8"/>
  <c r="AL44" i="8"/>
  <c r="AK44" i="8"/>
  <c r="AJ44" i="8"/>
  <c r="AI44" i="8"/>
  <c r="AH44" i="8"/>
  <c r="AG44" i="8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I44" i="8"/>
  <c r="G44" i="8"/>
  <c r="F44" i="8"/>
  <c r="F45" i="8" s="1"/>
  <c r="G45" i="8" s="1"/>
  <c r="I41" i="8"/>
  <c r="AE35" i="8"/>
  <c r="AE40" i="8" s="1"/>
  <c r="K40" i="8"/>
  <c r="J35" i="8"/>
  <c r="J40" i="8" s="1"/>
  <c r="AM33" i="8"/>
  <c r="AM35" i="8" s="1"/>
  <c r="AM40" i="8" s="1"/>
  <c r="AH33" i="8"/>
  <c r="AC33" i="8"/>
  <c r="X33" i="8"/>
  <c r="S33" i="8"/>
  <c r="N33" i="8"/>
  <c r="L29" i="8"/>
  <c r="M29" i="8" s="1"/>
  <c r="N29" i="8" s="1"/>
  <c r="O29" i="8" s="1"/>
  <c r="AS28" i="8"/>
  <c r="Y28" i="8"/>
  <c r="AU27" i="8"/>
  <c r="AF27" i="8"/>
  <c r="O27" i="8"/>
  <c r="AT26" i="8"/>
  <c r="Z26" i="8"/>
  <c r="N24" i="8"/>
  <c r="O24" i="8" s="1"/>
  <c r="L24" i="8"/>
  <c r="I24" i="8"/>
  <c r="I35" i="8" s="1"/>
  <c r="AJ23" i="8"/>
  <c r="Z23" i="8"/>
  <c r="F22" i="8"/>
  <c r="AI21" i="8"/>
  <c r="AA21" i="8"/>
  <c r="S21" i="8"/>
  <c r="AG20" i="8"/>
  <c r="Y20" i="8"/>
  <c r="Q20" i="8"/>
  <c r="G20" i="8"/>
  <c r="AK19" i="8"/>
  <c r="AA19" i="8"/>
  <c r="Q19" i="8"/>
  <c r="AG18" i="8"/>
  <c r="W18" i="8"/>
  <c r="W35" i="8" s="1"/>
  <c r="W40" i="8" s="1"/>
  <c r="M18" i="8"/>
  <c r="AB17" i="8"/>
  <c r="F17" i="8"/>
  <c r="F35" i="8" s="1"/>
  <c r="AK16" i="8"/>
  <c r="AD15" i="8"/>
  <c r="V15" i="8"/>
  <c r="N15" i="8"/>
  <c r="AH14" i="8"/>
  <c r="Z14" i="8"/>
  <c r="R14" i="8"/>
  <c r="R35" i="8" s="1"/>
  <c r="R40" i="8" s="1"/>
  <c r="AF13" i="8"/>
  <c r="X13" i="8"/>
  <c r="P13" i="8"/>
  <c r="AL12" i="8"/>
  <c r="AG12" i="8"/>
  <c r="AG35" i="8" s="1"/>
  <c r="AG40" i="8" s="1"/>
  <c r="AA12" i="8"/>
  <c r="U12" i="8"/>
  <c r="O12" i="8"/>
  <c r="G12" i="8"/>
  <c r="G35" i="8" s="1"/>
  <c r="AF11" i="8"/>
  <c r="Q11" i="8"/>
  <c r="P10" i="8"/>
  <c r="AK9" i="8"/>
  <c r="AC9" i="8"/>
  <c r="U9" i="8"/>
  <c r="U35" i="8" s="1"/>
  <c r="U40" i="8" s="1"/>
  <c r="M9" i="8"/>
  <c r="AJ8" i="8"/>
  <c r="AJ35" i="8" s="1"/>
  <c r="AJ40" i="8" s="1"/>
  <c r="AB8" i="8"/>
  <c r="T8" i="8"/>
  <c r="T35" i="8" s="1"/>
  <c r="T40" i="8" s="1"/>
  <c r="L8" i="8"/>
  <c r="AH7" i="8"/>
  <c r="AH35" i="8" s="1"/>
  <c r="AH40" i="8" s="1"/>
  <c r="Y7" i="8"/>
  <c r="P7" i="8"/>
  <c r="AK6" i="8"/>
  <c r="Q6" i="8"/>
  <c r="S5" i="8"/>
  <c r="AI4" i="8"/>
  <c r="AI35" i="8" s="1"/>
  <c r="AI40" i="8" s="1"/>
  <c r="AL3" i="8"/>
  <c r="AL35" i="8" s="1"/>
  <c r="AL40" i="8" s="1"/>
  <c r="AD3" i="8"/>
  <c r="V3" i="8"/>
  <c r="N3" i="8"/>
  <c r="L35" i="8" l="1"/>
  <c r="L40" i="8" s="1"/>
  <c r="P35" i="8"/>
  <c r="P40" i="8" s="1"/>
  <c r="Z35" i="8"/>
  <c r="Z40" i="8" s="1"/>
  <c r="AK35" i="8"/>
  <c r="AK40" i="8" s="1"/>
  <c r="N35" i="8"/>
  <c r="N40" i="8" s="1"/>
  <c r="V35" i="8"/>
  <c r="V40" i="8" s="1"/>
  <c r="S35" i="8"/>
  <c r="S40" i="8" s="1"/>
  <c r="AB35" i="8"/>
  <c r="AB40" i="8" s="1"/>
  <c r="AC35" i="8"/>
  <c r="AC40" i="8" s="1"/>
  <c r="AF35" i="8"/>
  <c r="AF40" i="8" s="1"/>
  <c r="X35" i="8"/>
  <c r="X40" i="8" s="1"/>
  <c r="Y35" i="8"/>
  <c r="Y40" i="8" s="1"/>
  <c r="AA35" i="8"/>
  <c r="AA40" i="8" s="1"/>
  <c r="M35" i="8"/>
  <c r="M40" i="8" s="1"/>
  <c r="AD35" i="8"/>
  <c r="AD40" i="8" s="1"/>
  <c r="Q35" i="8"/>
  <c r="Q40" i="8" s="1"/>
  <c r="F41" i="8"/>
  <c r="F40" i="8"/>
  <c r="I45" i="8"/>
  <c r="G46" i="8"/>
  <c r="J39" i="8"/>
  <c r="J41" i="8" s="1"/>
  <c r="J52" i="8"/>
  <c r="K52" i="8"/>
  <c r="K39" i="8"/>
  <c r="O35" i="8"/>
  <c r="O40" i="8" s="1"/>
  <c r="G36" i="8"/>
  <c r="I36" i="8" s="1"/>
  <c r="K36" i="8" s="1"/>
  <c r="G40" i="8"/>
  <c r="G41" i="8" s="1"/>
  <c r="G68" i="8"/>
  <c r="G71" i="8" s="1"/>
  <c r="F51" i="8" s="1"/>
  <c r="F52" i="8" s="1"/>
  <c r="L36" i="8" l="1"/>
  <c r="M36" i="8" s="1"/>
  <c r="N36" i="8" s="1"/>
  <c r="O36" i="8"/>
  <c r="P36" i="8" s="1"/>
  <c r="Q36" i="8" s="1"/>
  <c r="R36" i="8" s="1"/>
  <c r="S36" i="8" s="1"/>
  <c r="T36" i="8" s="1"/>
  <c r="U36" i="8" s="1"/>
  <c r="V36" i="8" s="1"/>
  <c r="W36" i="8" s="1"/>
  <c r="X36" i="8" s="1"/>
  <c r="Y36" i="8" s="1"/>
  <c r="Z36" i="8" s="1"/>
  <c r="AA36" i="8" s="1"/>
  <c r="AB36" i="8" s="1"/>
  <c r="AC36" i="8" s="1"/>
  <c r="AD36" i="8" s="1"/>
  <c r="AE36" i="8" s="1"/>
  <c r="AF36" i="8" s="1"/>
  <c r="AG36" i="8" s="1"/>
  <c r="AH36" i="8" s="1"/>
  <c r="AI36" i="8" s="1"/>
  <c r="AJ36" i="8" s="1"/>
  <c r="AK36" i="8" s="1"/>
  <c r="AL36" i="8" s="1"/>
  <c r="AM36" i="8" s="1"/>
  <c r="I46" i="8"/>
  <c r="K45" i="8"/>
  <c r="K41" i="8"/>
  <c r="L38" i="8" s="1"/>
  <c r="F74" i="1"/>
  <c r="E74" i="1"/>
  <c r="D74" i="1"/>
  <c r="F57" i="1"/>
  <c r="E57" i="1"/>
  <c r="D57" i="1"/>
  <c r="F51" i="1"/>
  <c r="E51" i="1"/>
  <c r="D51" i="1"/>
  <c r="F44" i="1"/>
  <c r="E44" i="1"/>
  <c r="D44" i="1"/>
  <c r="F35" i="1"/>
  <c r="E35" i="1"/>
  <c r="D35" i="1"/>
  <c r="K46" i="8" l="1"/>
  <c r="L45" i="8"/>
  <c r="F76" i="1"/>
  <c r="E76" i="1"/>
  <c r="E16" i="1" s="1"/>
  <c r="L50" i="8" s="1"/>
  <c r="D76" i="1"/>
  <c r="M45" i="8" l="1"/>
  <c r="L46" i="8"/>
  <c r="F16" i="1"/>
  <c r="E9" i="1"/>
  <c r="E84" i="1" s="1"/>
  <c r="F9" i="1" l="1"/>
  <c r="N45" i="8"/>
  <c r="M46" i="8"/>
  <c r="D9" i="1"/>
  <c r="F84" i="1" l="1"/>
  <c r="H84" i="1" s="1"/>
  <c r="M50" i="8"/>
  <c r="M51" i="8" s="1"/>
  <c r="M39" i="8" s="1"/>
  <c r="L51" i="8"/>
  <c r="L39" i="8" s="1"/>
  <c r="E78" i="1" s="1"/>
  <c r="N46" i="8"/>
  <c r="O45" i="8"/>
  <c r="D16" i="1"/>
  <c r="E17" i="1" l="1"/>
  <c r="E85" i="1"/>
  <c r="E86" i="1" s="1"/>
  <c r="D78" i="1"/>
  <c r="D79" i="1" s="1"/>
  <c r="E79" i="1"/>
  <c r="L41" i="8"/>
  <c r="M38" i="8" s="1"/>
  <c r="N50" i="8"/>
  <c r="F78" i="1"/>
  <c r="F85" i="1" s="1"/>
  <c r="L52" i="8"/>
  <c r="O46" i="8"/>
  <c r="P45" i="8"/>
  <c r="D17" i="1" l="1"/>
  <c r="D18" i="1" s="1"/>
  <c r="E18" i="1"/>
  <c r="M52" i="8"/>
  <c r="O50" i="8"/>
  <c r="N51" i="8"/>
  <c r="N39" i="8" s="1"/>
  <c r="M41" i="8"/>
  <c r="N38" i="8" s="1"/>
  <c r="Q45" i="8"/>
  <c r="P46" i="8"/>
  <c r="P50" i="8" l="1"/>
  <c r="O51" i="8"/>
  <c r="O39" i="8" s="1"/>
  <c r="N52" i="8"/>
  <c r="N41" i="8"/>
  <c r="O38" i="8" s="1"/>
  <c r="R45" i="8"/>
  <c r="Q46" i="8"/>
  <c r="F79" i="1"/>
  <c r="F17" i="1"/>
  <c r="F18" i="1" s="1"/>
  <c r="O41" i="8" l="1"/>
  <c r="P38" i="8" s="1"/>
  <c r="O52" i="8"/>
  <c r="P51" i="8"/>
  <c r="P39" i="8" s="1"/>
  <c r="Q50" i="8"/>
  <c r="R46" i="8"/>
  <c r="S45" i="8"/>
  <c r="H85" i="1"/>
  <c r="H87" i="1" s="1"/>
  <c r="F86" i="1"/>
  <c r="P41" i="8" l="1"/>
  <c r="Q38" i="8" s="1"/>
  <c r="P52" i="8"/>
  <c r="R50" i="8"/>
  <c r="Q51" i="8"/>
  <c r="Q39" i="8" s="1"/>
  <c r="S46" i="8"/>
  <c r="T45" i="8"/>
  <c r="Q41" i="8" l="1"/>
  <c r="R38" i="8" s="1"/>
  <c r="S50" i="8"/>
  <c r="R51" i="8"/>
  <c r="R39" i="8" s="1"/>
  <c r="Q52" i="8"/>
  <c r="U45" i="8"/>
  <c r="T46" i="8"/>
  <c r="R41" i="8" l="1"/>
  <c r="S38" i="8" s="1"/>
  <c r="R52" i="8"/>
  <c r="S51" i="8"/>
  <c r="S39" i="8" s="1"/>
  <c r="T50" i="8"/>
  <c r="V45" i="8"/>
  <c r="U46" i="8"/>
  <c r="S41" i="8" l="1"/>
  <c r="T38" i="8" s="1"/>
  <c r="U50" i="8"/>
  <c r="T51" i="8"/>
  <c r="T39" i="8" s="1"/>
  <c r="S52" i="8"/>
  <c r="V46" i="8"/>
  <c r="W45" i="8"/>
  <c r="T41" i="8" l="1"/>
  <c r="U38" i="8" s="1"/>
  <c r="V50" i="8"/>
  <c r="U51" i="8"/>
  <c r="U39" i="8" s="1"/>
  <c r="T52" i="8"/>
  <c r="W46" i="8"/>
  <c r="X45" i="8"/>
  <c r="U41" i="8" l="1"/>
  <c r="V38" i="8" s="1"/>
  <c r="U52" i="8"/>
  <c r="W50" i="8"/>
  <c r="V51" i="8"/>
  <c r="V39" i="8" s="1"/>
  <c r="Y45" i="8"/>
  <c r="X46" i="8"/>
  <c r="V41" i="8" l="1"/>
  <c r="W38" i="8" s="1"/>
  <c r="V52" i="8"/>
  <c r="X50" i="8"/>
  <c r="W51" i="8"/>
  <c r="W39" i="8" s="1"/>
  <c r="Z45" i="8"/>
  <c r="Y46" i="8"/>
  <c r="W41" i="8" l="1"/>
  <c r="X38" i="8" s="1"/>
  <c r="X51" i="8"/>
  <c r="X39" i="8" s="1"/>
  <c r="Y50" i="8"/>
  <c r="W52" i="8"/>
  <c r="Z46" i="8"/>
  <c r="AA45" i="8"/>
  <c r="X41" i="8" l="1"/>
  <c r="Y38" i="8" s="1"/>
  <c r="X52" i="8"/>
  <c r="Z50" i="8"/>
  <c r="Y51" i="8"/>
  <c r="Y39" i="8" s="1"/>
  <c r="AA46" i="8"/>
  <c r="AB45" i="8"/>
  <c r="Y41" i="8" l="1"/>
  <c r="Z38" i="8" s="1"/>
  <c r="Y52" i="8"/>
  <c r="AA50" i="8"/>
  <c r="Z51" i="8"/>
  <c r="Z39" i="8" s="1"/>
  <c r="AC45" i="8"/>
  <c r="AB46" i="8"/>
  <c r="Z41" i="8" l="1"/>
  <c r="AA38" i="8" s="1"/>
  <c r="Z52" i="8"/>
  <c r="AA51" i="8"/>
  <c r="AA39" i="8" s="1"/>
  <c r="AB50" i="8"/>
  <c r="AD45" i="8"/>
  <c r="AC46" i="8"/>
  <c r="AA41" i="8" l="1"/>
  <c r="AB38" i="8" s="1"/>
  <c r="AB51" i="8"/>
  <c r="AB39" i="8" s="1"/>
  <c r="AC50" i="8"/>
  <c r="AA52" i="8"/>
  <c r="AD46" i="8"/>
  <c r="AE45" i="8"/>
  <c r="AB41" i="8" l="1"/>
  <c r="AC38" i="8" s="1"/>
  <c r="AD50" i="8"/>
  <c r="AC51" i="8"/>
  <c r="AC39" i="8" s="1"/>
  <c r="AB52" i="8"/>
  <c r="AE46" i="8"/>
  <c r="AF45" i="8"/>
  <c r="AC41" i="8" l="1"/>
  <c r="AD38" i="8" s="1"/>
  <c r="AD51" i="8"/>
  <c r="AD39" i="8" s="1"/>
  <c r="AE50" i="8"/>
  <c r="AC52" i="8"/>
  <c r="AG45" i="8"/>
  <c r="AF46" i="8"/>
  <c r="AD41" i="8" l="1"/>
  <c r="AE38" i="8" s="1"/>
  <c r="AE51" i="8"/>
  <c r="AE39" i="8" s="1"/>
  <c r="AF50" i="8"/>
  <c r="AD52" i="8"/>
  <c r="AH45" i="8"/>
  <c r="AG46" i="8"/>
  <c r="AE41" i="8" l="1"/>
  <c r="AF38" i="8" s="1"/>
  <c r="AF51" i="8"/>
  <c r="AF39" i="8" s="1"/>
  <c r="AG50" i="8"/>
  <c r="AE52" i="8"/>
  <c r="AH46" i="8"/>
  <c r="AI45" i="8"/>
  <c r="AF41" i="8" l="1"/>
  <c r="AG38" i="8" s="1"/>
  <c r="AG51" i="8"/>
  <c r="AG39" i="8" s="1"/>
  <c r="AG41" i="8" s="1"/>
  <c r="AH38" i="8" s="1"/>
  <c r="AH50" i="8"/>
  <c r="AF52" i="8"/>
  <c r="AI46" i="8"/>
  <c r="AJ45" i="8"/>
  <c r="AH51" i="8" l="1"/>
  <c r="AH39" i="8" s="1"/>
  <c r="AH41" i="8" s="1"/>
  <c r="AI38" i="8" s="1"/>
  <c r="AI50" i="8"/>
  <c r="AG52" i="8"/>
  <c r="AK45" i="8"/>
  <c r="AJ46" i="8"/>
  <c r="AI51" i="8" l="1"/>
  <c r="AI39" i="8" s="1"/>
  <c r="AI41" i="8" s="1"/>
  <c r="AJ38" i="8" s="1"/>
  <c r="AJ50" i="8"/>
  <c r="AH52" i="8"/>
  <c r="AL45" i="8"/>
  <c r="AK46" i="8"/>
  <c r="AJ51" i="8" l="1"/>
  <c r="AJ39" i="8" s="1"/>
  <c r="AJ41" i="8" s="1"/>
  <c r="AK38" i="8" s="1"/>
  <c r="AK50" i="8"/>
  <c r="AI52" i="8"/>
  <c r="AL46" i="8"/>
  <c r="AM45" i="8"/>
  <c r="AM46" i="8" s="1"/>
  <c r="AK51" i="8" l="1"/>
  <c r="AK39" i="8" s="1"/>
  <c r="AK41" i="8" s="1"/>
  <c r="AL38" i="8" s="1"/>
  <c r="AL50" i="8"/>
  <c r="AJ52" i="8"/>
  <c r="AM50" i="8" l="1"/>
  <c r="AL51" i="8"/>
  <c r="AL39" i="8" s="1"/>
  <c r="AL41" i="8" s="1"/>
  <c r="AM38" i="8" s="1"/>
  <c r="AK52" i="8"/>
  <c r="AM51" i="8" l="1"/>
  <c r="AM39" i="8" s="1"/>
  <c r="AM41" i="8" s="1"/>
  <c r="AL52" i="8"/>
  <c r="AM52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D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 DO NOT CHANGE THE FORMULA</t>
        </r>
      </text>
    </comment>
    <comment ref="E9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 DO NOT CHANGE THE FORMULA</t>
        </r>
      </text>
    </comment>
    <comment ref="F9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 DO NOT CHANGE THE FORMULA</t>
        </r>
      </text>
    </comment>
    <comment ref="D16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 DO NOT CHANGE THE FORMULA</t>
        </r>
      </text>
    </comment>
    <comment ref="E16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 DO NOT CHANGE THE FORMULA</t>
        </r>
      </text>
    </comment>
    <comment ref="F16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 DO NOT CHANGE THE FORMULA</t>
        </r>
      </text>
    </comment>
    <comment ref="F17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 DO NOT CHANGE THE FORMULA</t>
        </r>
      </text>
    </comment>
    <comment ref="D18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 DO NOT CHANGE THE FORMULA</t>
        </r>
      </text>
    </comment>
    <comment ref="E18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 DO NOT CHANGE THE FORMULA</t>
        </r>
      </text>
    </comment>
    <comment ref="F18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 DO NOT CHANGE THE FORMULA</t>
        </r>
      </text>
    </comment>
    <comment ref="D35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 DO NOT CHANGE THE FORMULA</t>
        </r>
      </text>
    </comment>
    <comment ref="E35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 DO NOT CHANGE THE FORMULA</t>
        </r>
      </text>
    </comment>
    <comment ref="F35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 DO NOT CHANGE THE FORMULA</t>
        </r>
      </text>
    </comment>
    <comment ref="D44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 DO NOT CHANGE THE FORMULA</t>
        </r>
      </text>
    </comment>
    <comment ref="E44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 DO NOT CHANGE THE FORMULA</t>
        </r>
      </text>
    </comment>
    <comment ref="F44" authorId="0" shapeId="0" xr:uid="{00000000-0006-0000-0000-000010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 DO NOT CHANGE THE FORMULA</t>
        </r>
      </text>
    </comment>
    <comment ref="D51" authorId="0" shapeId="0" xr:uid="{00000000-0006-0000-0000-000011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 DO NOT CHANGE THE FORMULA</t>
        </r>
      </text>
    </comment>
    <comment ref="E51" authorId="0" shapeId="0" xr:uid="{00000000-0006-0000-0000-000012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 DO NOT CHANGE THE FORMULA</t>
        </r>
      </text>
    </comment>
    <comment ref="F51" authorId="0" shapeId="0" xr:uid="{00000000-0006-0000-0000-000013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 DO NOT CHANGE THE FORMULA</t>
        </r>
      </text>
    </comment>
    <comment ref="D57" authorId="0" shapeId="0" xr:uid="{00000000-0006-0000-0000-000014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 DO NOT CHANGE THE FORMULA</t>
        </r>
      </text>
    </comment>
    <comment ref="E57" authorId="0" shapeId="0" xr:uid="{00000000-0006-0000-0000-000015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 DO NOT CHANGE THE FORMULA</t>
        </r>
      </text>
    </comment>
    <comment ref="F57" authorId="0" shapeId="0" xr:uid="{00000000-0006-0000-0000-000016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 DO NOT CHANGE THE FORMULA</t>
        </r>
      </text>
    </comment>
    <comment ref="D74" authorId="0" shapeId="0" xr:uid="{00000000-0006-0000-0000-000017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 DO NOT CHANGE THE FORMULA</t>
        </r>
      </text>
    </comment>
    <comment ref="E74" authorId="0" shapeId="0" xr:uid="{00000000-0006-0000-0000-000018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 DO NOT CHANGE THE FORMULA</t>
        </r>
      </text>
    </comment>
    <comment ref="F74" authorId="0" shapeId="0" xr:uid="{00000000-0006-0000-0000-000019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 DO NOT CHANGE THE FORMULA</t>
        </r>
      </text>
    </comment>
    <comment ref="D76" authorId="0" shapeId="0" xr:uid="{00000000-0006-0000-0000-00001A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 DO NOT CHANGE THE FORMULA</t>
        </r>
      </text>
    </comment>
    <comment ref="E76" authorId="0" shapeId="0" xr:uid="{00000000-0006-0000-0000-00001B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 DO NOT CHANGE THE FORMULA</t>
        </r>
      </text>
    </comment>
    <comment ref="F76" authorId="0" shapeId="0" xr:uid="{00000000-0006-0000-0000-00001C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 DO NOT CHANGE THE FORMULA</t>
        </r>
      </text>
    </comment>
    <comment ref="D78" authorId="0" shapeId="0" xr:uid="{00000000-0006-0000-0000-00001D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 DO NOT CHANGE THE FORMULA</t>
        </r>
      </text>
    </comment>
    <comment ref="E78" authorId="0" shapeId="0" xr:uid="{00000000-0006-0000-0000-00001E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 DO NOT CHANGE THE FORMULA</t>
        </r>
      </text>
    </comment>
    <comment ref="F78" authorId="0" shapeId="0" xr:uid="{00000000-0006-0000-0000-00001F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 DO NOT CHANGE THE FORMULA</t>
        </r>
      </text>
    </comment>
    <comment ref="D79" authorId="0" shapeId="0" xr:uid="{00000000-0006-0000-0000-000020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 DO NOT CHANGE THE FORMULA</t>
        </r>
      </text>
    </comment>
    <comment ref="E79" authorId="0" shapeId="0" xr:uid="{00000000-0006-0000-0000-000021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 DO NOT CHANGE THE FORMULA</t>
        </r>
      </text>
    </comment>
    <comment ref="F79" authorId="0" shapeId="0" xr:uid="{00000000-0006-0000-0000-000022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 DO NOT CHANGE THE FORMULA</t>
        </r>
      </text>
    </comment>
    <comment ref="F84" authorId="0" shapeId="0" xr:uid="{00000000-0006-0000-0000-000023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 DO NOT CHANGE THE FORMULA</t>
        </r>
      </text>
    </comment>
    <comment ref="E85" authorId="0" shapeId="0" xr:uid="{00000000-0006-0000-0000-000024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 DO NOT CHANGE THE FORMULA</t>
        </r>
      </text>
    </comment>
    <comment ref="F85" authorId="0" shapeId="0" xr:uid="{00000000-0006-0000-0000-000025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 DO NOT CHANGE THE FORMULA</t>
        </r>
      </text>
    </comment>
    <comment ref="F86" authorId="0" shapeId="0" xr:uid="{00000000-0006-0000-0000-000026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 DO NOT CHANGE THE FORMULA</t>
        </r>
      </text>
    </comment>
  </commentList>
</comments>
</file>

<file path=xl/sharedStrings.xml><?xml version="1.0" encoding="utf-8"?>
<sst xmlns="http://schemas.openxmlformats.org/spreadsheetml/2006/main" count="158" uniqueCount="140">
  <si>
    <t>REVENUES</t>
  </si>
  <si>
    <t>EXPENSES AND RESERVES</t>
  </si>
  <si>
    <t>GROUNDS</t>
  </si>
  <si>
    <t>UTILITIES</t>
  </si>
  <si>
    <t>ADMINISTRATION</t>
  </si>
  <si>
    <t>RESERVES</t>
  </si>
  <si>
    <t>ASSESSMENTS</t>
  </si>
  <si>
    <t>MAINTENANCE ASSESSMENT</t>
  </si>
  <si>
    <t xml:space="preserve">     TOTAL REVENUE</t>
  </si>
  <si>
    <t xml:space="preserve">          TOTAL REVENUES</t>
  </si>
  <si>
    <t xml:space="preserve">     TOTAL GROUNDS</t>
  </si>
  <si>
    <t>ELECTRIC</t>
  </si>
  <si>
    <t>LEGAL/PROFESSIONAL</t>
  </si>
  <si>
    <t>FEES, DUES, LICENSE</t>
  </si>
  <si>
    <t>MANAGEMENT FEE</t>
  </si>
  <si>
    <t>TOTAL OPERATING EXPENSE</t>
  </si>
  <si>
    <t>RESERVES - SCHEDULE B</t>
  </si>
  <si>
    <t xml:space="preserve">          TOTAL EXPENSES AND RESERVES</t>
  </si>
  <si>
    <t xml:space="preserve">ESTIMATED  </t>
  </si>
  <si>
    <t>APPROVED</t>
  </si>
  <si>
    <t>BUDGET</t>
  </si>
  <si>
    <t>MAINTENANCE</t>
  </si>
  <si>
    <t xml:space="preserve">     TOTAL</t>
  </si>
  <si>
    <t>TOTAL ADMINISTRATION</t>
  </si>
  <si>
    <t>BUILDING MAINTENANCE</t>
  </si>
  <si>
    <t xml:space="preserve">     TOTAL BUILDING MAINT.</t>
  </si>
  <si>
    <t>TELEPHONE</t>
  </si>
  <si>
    <t>GROUNDS CONTRACT</t>
  </si>
  <si>
    <t>OTHER INCOME</t>
  </si>
  <si>
    <t>INTEREST</t>
  </si>
  <si>
    <t>GATE CARDS</t>
  </si>
  <si>
    <t>IRRIGATION MAINTENANCE</t>
  </si>
  <si>
    <t>LAKE MAINTENANCE</t>
  </si>
  <si>
    <t xml:space="preserve">INSURANCE </t>
  </si>
  <si>
    <t>ADMIN/BANK/MAILINGS</t>
  </si>
  <si>
    <t>TIME PER YEAR</t>
  </si>
  <si>
    <t>LAKE PLANTING</t>
  </si>
  <si>
    <t>UNIT ASSESSMENT - ANNUALLY</t>
  </si>
  <si>
    <t>BAD DEBT EXPENSE</t>
  </si>
  <si>
    <t>FOUNTAIN REPAIRS</t>
  </si>
  <si>
    <t>GATES</t>
  </si>
  <si>
    <t>GATE TRANSMITTERS</t>
  </si>
  <si>
    <t>CLBHSE REP/MAINT</t>
  </si>
  <si>
    <t>CLBHSE JANITORIAL</t>
  </si>
  <si>
    <t>JANITORIAL SUPPLIES</t>
  </si>
  <si>
    <t>POOL/RECREATION FACILITIES</t>
  </si>
  <si>
    <t>POOL CONTRACT</t>
  </si>
  <si>
    <t>POOL EQUIP REPAIRS</t>
  </si>
  <si>
    <t>TENNIS COURTS</t>
  </si>
  <si>
    <t>WATER-RECLAIMED</t>
  </si>
  <si>
    <t>WATER/SEWER-CLBHSE/GRDHSE</t>
  </si>
  <si>
    <t>ACCOUNTING SERVICES</t>
  </si>
  <si>
    <t>SOCIAL EVENTS</t>
  </si>
  <si>
    <t>CLUBHOUSE RENTAL</t>
  </si>
  <si>
    <t>POOL HEAT/GAS</t>
  </si>
  <si>
    <t>SIGNS/LIGHT REP/REPAIRS</t>
  </si>
  <si>
    <t xml:space="preserve"> </t>
  </si>
  <si>
    <t>LANDSCAPE MAINT/MULCH/PALMS</t>
  </si>
  <si>
    <t>ACTUAL</t>
  </si>
  <si>
    <t>TREE TRIMMING</t>
  </si>
  <si>
    <t>Clubhouse - Roof</t>
  </si>
  <si>
    <t>Tennis Courts - Resurfacing</t>
  </si>
  <si>
    <t>Tennis Courts - Fence</t>
  </si>
  <si>
    <t>Swimming Pool - Deck Drains</t>
  </si>
  <si>
    <t>Swimming Pool - Heater</t>
  </si>
  <si>
    <t>Gatehouse - Stucco/Painting</t>
  </si>
  <si>
    <t>Gatehouse - Tile Roof</t>
  </si>
  <si>
    <t>Gatehouse - Paver Reconstruction</t>
  </si>
  <si>
    <t>Security Gates - Main Entry at Iona</t>
  </si>
  <si>
    <t>FITNESS EQUIPMENT  (Repair)</t>
  </si>
  <si>
    <t>GATEHOUSE REPAIRS / WASH</t>
  </si>
  <si>
    <t>LAUREL LAKES WEBSITE</t>
  </si>
  <si>
    <t>ONLINE SERVICES PORTAL</t>
  </si>
  <si>
    <t>GUTTER CLEANING  (Inside Walls)</t>
  </si>
  <si>
    <t>Inflation rate</t>
  </si>
  <si>
    <t>EXTERIOR &amp; MECHANICAL ELEMENTS</t>
  </si>
  <si>
    <t>Last Replacement</t>
  </si>
  <si>
    <t>Life Expectancy Yrs</t>
  </si>
  <si>
    <t>Remaining Useful Life Yrs</t>
  </si>
  <si>
    <t>2019 Replcement cost</t>
  </si>
  <si>
    <t>Clubhouse -  Stucco/Painting</t>
  </si>
  <si>
    <t>Clubhouse - A/C</t>
  </si>
  <si>
    <t>Clubhouse - Exercise Equipment</t>
  </si>
  <si>
    <t>Swimming Pool - Interior Finish</t>
  </si>
  <si>
    <t>Swimming Pool - Paver Resealing</t>
  </si>
  <si>
    <t>Security Gates - Palmer Blvd.</t>
  </si>
  <si>
    <t>Security for Clubhouse/Pool</t>
  </si>
  <si>
    <t>Security Software for Gates</t>
  </si>
  <si>
    <t>Privacy Wall</t>
  </si>
  <si>
    <t>Asphalt - Phase 1</t>
  </si>
  <si>
    <t>Asphalt - Phase 2</t>
  </si>
  <si>
    <t>Asphalt - Phase 3</t>
  </si>
  <si>
    <t>Common Property Drainage</t>
  </si>
  <si>
    <t>RESERVE EXPENDITURES</t>
  </si>
  <si>
    <t>PREVIOUS YEAR BALANCE</t>
  </si>
  <si>
    <t>RESERVE CONTRIBUTION</t>
  </si>
  <si>
    <t>RESERVE EXPENDITURE</t>
  </si>
  <si>
    <t>Total Assessments</t>
  </si>
  <si>
    <t>Maintenance Budget</t>
  </si>
  <si>
    <t>Reserves Contribution</t>
  </si>
  <si>
    <t>Total Maintenance &amp; Reserves Contribution</t>
  </si>
  <si>
    <t>Total Household Assessment</t>
  </si>
  <si>
    <t>Total Household Assessment Inflated</t>
  </si>
  <si>
    <t>Assessments less Maint Budget</t>
  </si>
  <si>
    <t>Security Cameras for Gates/Clubhouse</t>
  </si>
  <si>
    <t>BANK SERVICE CHARGES</t>
  </si>
  <si>
    <t xml:space="preserve">           </t>
  </si>
  <si>
    <t xml:space="preserve">                  NET AFTER OPERATING EXPENSES &amp; RESERVES ALLOCATION</t>
  </si>
  <si>
    <t>Other Income</t>
  </si>
  <si>
    <t>FIRE Monitoring &amp; SECURITY</t>
  </si>
  <si>
    <t>YEAR END RESERVES</t>
  </si>
  <si>
    <t>Household Assessment</t>
  </si>
  <si>
    <t>Community Exterior Light Poles-Repaint</t>
  </si>
  <si>
    <t>Clubhouse/Gatehoiuse Lighting Repaint</t>
  </si>
  <si>
    <t>Lake Plantings</t>
  </si>
  <si>
    <t xml:space="preserve">Storm Water Retention Lake Repair </t>
  </si>
  <si>
    <t xml:space="preserve">     TOTAL UTILITIES</t>
  </si>
  <si>
    <t>net to Reserves</t>
  </si>
  <si>
    <t>TOTAL POOL/RECREATION FACILITIES</t>
  </si>
  <si>
    <t>ASSESSMENT PAYMENT</t>
  </si>
  <si>
    <t>TOTAL UNITS</t>
  </si>
  <si>
    <t>MISCELLANEOUS</t>
  </si>
  <si>
    <t>Unpaid 2019 Assessments</t>
  </si>
  <si>
    <t xml:space="preserve"> Laurel Lakes HOA</t>
  </si>
  <si>
    <t>SIDEWALK CLEANING</t>
  </si>
  <si>
    <t>PEST CONTROL</t>
  </si>
  <si>
    <t>Gutter Repair and Restoration</t>
  </si>
  <si>
    <t>Irrigation Project</t>
  </si>
  <si>
    <t>Perimeter Wall Repair and Restoration</t>
  </si>
  <si>
    <t>Landscaping Replacement Project</t>
  </si>
  <si>
    <t>2020 PVA</t>
  </si>
  <si>
    <t>PVA</t>
  </si>
  <si>
    <t>SALES &amp; LEASE FEES</t>
  </si>
  <si>
    <t>LATE FEE INCOME</t>
  </si>
  <si>
    <t>2022 ESTIMATED EXPENSES AND APPROVED BUDGET</t>
  </si>
  <si>
    <t>PROPOSED BUDGET FOR THE PERIOD</t>
  </si>
  <si>
    <t>JANUARY 1, 2023 THRU DECEMBER 31, 2023</t>
  </si>
  <si>
    <t>PROPOSED</t>
  </si>
  <si>
    <t>WELCOMING COMMITTEE</t>
  </si>
  <si>
    <r>
      <t>2023 Budget</t>
    </r>
    <r>
      <rPr>
        <b/>
        <sz val="14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</si>
</sst>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0.000%"/>
    <numFmt numFmtId="166" formatCode="[$$-409]#,##0.00"/>
    <numFmt numFmtId="167" formatCode="_(* #,##0_);_(* \(#,##0\);_(* &quot;-&quot;??_);_(@_)"/>
    <numFmt numFmtId="168" formatCode="&quot;$&quot;#,##0"/>
    <numFmt numFmtId="169" formatCode="_(&quot;$&quot;* #,##0_);_(&quot;$&quot;* \(#,##0\);_(&quot;$&quot;* &quot;-&quot;??_);_(@_)"/>
    <numFmt numFmtId="170" formatCode="[$-409]General"/>
    <numFmt numFmtId="171" formatCode="#,##0.00&quot; &quot;;&quot; (&quot;#,##0.00&quot;)&quot;;&quot; -&quot;#&quot; &quot;;@&quot; &quot;"/>
    <numFmt numFmtId="172" formatCode="&quot; $&quot;#,##0.00&quot; &quot;;&quot; $(&quot;#,##0.00&quot;)&quot;;&quot; $-&quot;#&quot; &quot;;@&quot; &quot;"/>
    <numFmt numFmtId="173" formatCode="0.0%"/>
  </numFmts>
  <fonts count="29">
    <font>
      <sz val="12"/>
      <name val="Arial"/>
    </font>
    <font>
      <sz val="12"/>
      <name val="P-HLV"/>
    </font>
    <font>
      <sz val="12"/>
      <name val="P-HLV"/>
    </font>
    <font>
      <sz val="16"/>
      <name val="P-HLV"/>
    </font>
    <font>
      <sz val="10"/>
      <name val="P-HLV"/>
    </font>
    <font>
      <i/>
      <sz val="12"/>
      <name val="P-HLV"/>
    </font>
    <font>
      <i/>
      <sz val="10"/>
      <name val="P-HLV"/>
    </font>
    <font>
      <u/>
      <sz val="10"/>
      <name val="P-HLV"/>
    </font>
    <font>
      <b/>
      <sz val="12"/>
      <name val="P-HLV"/>
    </font>
    <font>
      <b/>
      <sz val="10"/>
      <name val="P-HLV"/>
    </font>
    <font>
      <sz val="18"/>
      <name val="P-HLV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P-HLV"/>
    </font>
    <font>
      <sz val="12"/>
      <color theme="1"/>
      <name val="P-HLV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u/>
      <sz val="11"/>
      <color theme="10"/>
      <name val="Arial"/>
      <family val="2"/>
    </font>
    <font>
      <sz val="12"/>
      <color theme="1"/>
      <name val="Arial1"/>
    </font>
    <font>
      <b/>
      <u/>
      <sz val="14"/>
      <name val="Arial"/>
      <family val="2"/>
    </font>
    <font>
      <sz val="12"/>
      <color rgb="FF000000"/>
      <name val="P-HLV"/>
    </font>
    <font>
      <b/>
      <sz val="14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43" fontId="13" fillId="0" borderId="0" applyFont="0" applyFill="0" applyBorder="0" applyAlignment="0" applyProtection="0"/>
    <xf numFmtId="44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70" fontId="24" fillId="0" borderId="0"/>
    <xf numFmtId="171" fontId="24" fillId="0" borderId="0"/>
    <xf numFmtId="172" fontId="24" fillId="0" borderId="0"/>
  </cellStyleXfs>
  <cellXfs count="20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 applyAlignment="1">
      <alignment horizontal="centerContinuous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2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2" fillId="2" borderId="1" xfId="0" applyFont="1" applyFill="1" applyBorder="1"/>
    <xf numFmtId="0" fontId="2" fillId="2" borderId="0" xfId="0" applyFont="1" applyFill="1"/>
    <xf numFmtId="0" fontId="4" fillId="2" borderId="2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4" fillId="0" borderId="3" xfId="0" applyFont="1" applyBorder="1"/>
    <xf numFmtId="0" fontId="4" fillId="0" borderId="0" xfId="0" applyFont="1"/>
    <xf numFmtId="0" fontId="6" fillId="0" borderId="0" xfId="0" applyFont="1"/>
    <xf numFmtId="3" fontId="2" fillId="0" borderId="4" xfId="0" applyNumberFormat="1" applyFont="1" applyBorder="1"/>
    <xf numFmtId="0" fontId="5" fillId="2" borderId="2" xfId="0" applyFont="1" applyFill="1" applyBorder="1"/>
    <xf numFmtId="0" fontId="7" fillId="0" borderId="3" xfId="0" applyFont="1" applyBorder="1"/>
    <xf numFmtId="164" fontId="2" fillId="0" borderId="3" xfId="0" applyNumberFormat="1" applyFont="1" applyBorder="1"/>
    <xf numFmtId="0" fontId="7" fillId="0" borderId="0" xfId="0" applyFont="1"/>
    <xf numFmtId="10" fontId="4" fillId="0" borderId="3" xfId="0" applyNumberFormat="1" applyFont="1" applyBorder="1"/>
    <xf numFmtId="10" fontId="4" fillId="0" borderId="0" xfId="0" applyNumberFormat="1" applyFont="1"/>
    <xf numFmtId="165" fontId="2" fillId="0" borderId="0" xfId="0" applyNumberFormat="1" applyFont="1"/>
    <xf numFmtId="4" fontId="2" fillId="0" borderId="0" xfId="0" applyNumberFormat="1" applyFont="1"/>
    <xf numFmtId="166" fontId="2" fillId="0" borderId="0" xfId="0" applyNumberFormat="1" applyFont="1"/>
    <xf numFmtId="0" fontId="4" fillId="2" borderId="5" xfId="0" applyFont="1" applyFill="1" applyBorder="1"/>
    <xf numFmtId="0" fontId="4" fillId="2" borderId="5" xfId="0" applyFont="1" applyFill="1" applyBorder="1" applyAlignment="1">
      <alignment horizontal="center"/>
    </xf>
    <xf numFmtId="0" fontId="5" fillId="0" borderId="0" xfId="0" applyFont="1"/>
    <xf numFmtId="3" fontId="8" fillId="0" borderId="0" xfId="0" applyNumberFormat="1" applyFont="1"/>
    <xf numFmtId="3" fontId="2" fillId="0" borderId="0" xfId="0" applyNumberFormat="1" applyFont="1"/>
    <xf numFmtId="0" fontId="4" fillId="0" borderId="0" xfId="0" quotePrefix="1" applyFont="1" applyAlignment="1">
      <alignment horizontal="left"/>
    </xf>
    <xf numFmtId="0" fontId="5" fillId="2" borderId="6" xfId="0" applyFont="1" applyFill="1" applyBorder="1"/>
    <xf numFmtId="0" fontId="2" fillId="2" borderId="7" xfId="0" applyFont="1" applyFill="1" applyBorder="1"/>
    <xf numFmtId="0" fontId="4" fillId="2" borderId="8" xfId="0" applyFont="1" applyFill="1" applyBorder="1" applyAlignment="1">
      <alignment horizontal="centerContinuous"/>
    </xf>
    <xf numFmtId="0" fontId="8" fillId="0" borderId="0" xfId="0" applyFont="1"/>
    <xf numFmtId="0" fontId="1" fillId="0" borderId="0" xfId="0" quotePrefix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5" fillId="0" borderId="0" xfId="0" applyFont="1"/>
    <xf numFmtId="3" fontId="8" fillId="0" borderId="12" xfId="0" applyNumberFormat="1" applyFont="1" applyBorder="1"/>
    <xf numFmtId="3" fontId="8" fillId="0" borderId="14" xfId="0" applyNumberFormat="1" applyFont="1" applyBorder="1"/>
    <xf numFmtId="3" fontId="2" fillId="0" borderId="15" xfId="0" applyNumberFormat="1" applyFont="1" applyBorder="1" applyProtection="1">
      <protection locked="0"/>
    </xf>
    <xf numFmtId="164" fontId="8" fillId="0" borderId="13" xfId="0" applyNumberFormat="1" applyFont="1" applyBorder="1"/>
    <xf numFmtId="164" fontId="8" fillId="0" borderId="16" xfId="0" applyNumberFormat="1" applyFont="1" applyBorder="1"/>
    <xf numFmtId="3" fontId="8" fillId="0" borderId="10" xfId="0" applyNumberFormat="1" applyFont="1" applyBorder="1"/>
    <xf numFmtId="3" fontId="1" fillId="0" borderId="11" xfId="0" applyNumberFormat="1" applyFont="1" applyBorder="1" applyProtection="1">
      <protection locked="0"/>
    </xf>
    <xf numFmtId="3" fontId="8" fillId="0" borderId="17" xfId="0" applyNumberFormat="1" applyFont="1" applyBorder="1"/>
    <xf numFmtId="0" fontId="6" fillId="0" borderId="19" xfId="0" applyFont="1" applyBorder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/>
    <xf numFmtId="0" fontId="14" fillId="0" borderId="0" xfId="0" applyFont="1"/>
    <xf numFmtId="3" fontId="4" fillId="0" borderId="12" xfId="0" applyNumberFormat="1" applyFont="1" applyBorder="1" applyAlignment="1">
      <alignment horizontal="right"/>
    </xf>
    <xf numFmtId="44" fontId="4" fillId="0" borderId="0" xfId="2" applyFont="1" applyFill="1" applyBorder="1" applyAlignment="1"/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2" fontId="0" fillId="0" borderId="0" xfId="2" applyNumberFormat="1" applyFont="1" applyAlignment="1">
      <alignment horizontal="left" vertical="top"/>
    </xf>
    <xf numFmtId="1" fontId="17" fillId="4" borderId="0" xfId="2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169" fontId="21" fillId="0" borderId="0" xfId="2" applyNumberFormat="1" applyFont="1" applyFill="1" applyAlignment="1">
      <alignment horizontal="left" vertical="top"/>
    </xf>
    <xf numFmtId="169" fontId="21" fillId="0" borderId="0" xfId="2" applyNumberFormat="1" applyFont="1" applyFill="1" applyAlignment="1">
      <alignment horizontal="center" vertical="center"/>
    </xf>
    <xf numFmtId="169" fontId="18" fillId="3" borderId="0" xfId="2" applyNumberFormat="1" applyFont="1" applyFill="1" applyBorder="1" applyAlignment="1">
      <alignment horizontal="left" vertical="top"/>
    </xf>
    <xf numFmtId="169" fontId="21" fillId="3" borderId="0" xfId="2" applyNumberFormat="1" applyFont="1" applyFill="1" applyAlignment="1">
      <alignment horizontal="left" vertical="top"/>
    </xf>
    <xf numFmtId="169" fontId="21" fillId="3" borderId="0" xfId="2" applyNumberFormat="1" applyFont="1" applyFill="1" applyAlignment="1">
      <alignment horizontal="center" vertical="center"/>
    </xf>
    <xf numFmtId="167" fontId="0" fillId="0" borderId="0" xfId="1" applyNumberFormat="1" applyFont="1" applyAlignment="1">
      <alignment horizontal="left" vertical="top"/>
    </xf>
    <xf numFmtId="38" fontId="0" fillId="0" borderId="0" xfId="1" applyNumberFormat="1" applyFont="1" applyAlignment="1">
      <alignment horizontal="right" vertical="top"/>
    </xf>
    <xf numFmtId="0" fontId="22" fillId="0" borderId="0" xfId="0" applyFont="1" applyAlignment="1">
      <alignment horizontal="center" vertical="center"/>
    </xf>
    <xf numFmtId="169" fontId="22" fillId="0" borderId="0" xfId="0" applyNumberFormat="1" applyFon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23" fillId="0" borderId="0" xfId="4" applyAlignment="1">
      <alignment horizontal="left" vertical="top"/>
    </xf>
    <xf numFmtId="169" fontId="0" fillId="0" borderId="0" xfId="2" applyNumberFormat="1" applyFont="1" applyAlignment="1">
      <alignment horizontal="left" vertical="top"/>
    </xf>
    <xf numFmtId="43" fontId="0" fillId="0" borderId="0" xfId="1" applyFont="1" applyAlignment="1">
      <alignment horizontal="left" vertical="top"/>
    </xf>
    <xf numFmtId="44" fontId="0" fillId="0" borderId="0" xfId="0" applyNumberFormat="1" applyAlignment="1">
      <alignment horizontal="center" vertical="center"/>
    </xf>
    <xf numFmtId="0" fontId="1" fillId="0" borderId="0" xfId="0" quotePrefix="1" applyFont="1"/>
    <xf numFmtId="167" fontId="22" fillId="0" borderId="0" xfId="1" applyNumberFormat="1" applyFont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166" fontId="4" fillId="0" borderId="0" xfId="0" applyNumberFormat="1" applyFont="1"/>
    <xf numFmtId="3" fontId="2" fillId="0" borderId="11" xfId="0" applyNumberFormat="1" applyFont="1" applyBorder="1" applyProtection="1">
      <protection locked="0"/>
    </xf>
    <xf numFmtId="164" fontId="2" fillId="0" borderId="0" xfId="0" applyNumberFormat="1" applyFont="1"/>
    <xf numFmtId="167" fontId="1" fillId="0" borderId="0" xfId="1" applyNumberFormat="1" applyFont="1" applyAlignment="1"/>
    <xf numFmtId="0" fontId="16" fillId="0" borderId="0" xfId="0" applyFont="1" applyAlignment="1">
      <alignment horizontal="left" vertical="top"/>
    </xf>
    <xf numFmtId="169" fontId="1" fillId="0" borderId="0" xfId="2" applyNumberFormat="1" applyFont="1" applyAlignment="1"/>
    <xf numFmtId="173" fontId="1" fillId="0" borderId="0" xfId="3" applyNumberFormat="1" applyFont="1" applyAlignment="1"/>
    <xf numFmtId="38" fontId="2" fillId="0" borderId="0" xfId="0" applyNumberFormat="1" applyFont="1"/>
    <xf numFmtId="0" fontId="15" fillId="0" borderId="0" xfId="0" quotePrefix="1" applyFont="1"/>
    <xf numFmtId="3" fontId="8" fillId="0" borderId="13" xfId="0" applyNumberFormat="1" applyFont="1" applyBorder="1"/>
    <xf numFmtId="167" fontId="0" fillId="0" borderId="0" xfId="1" applyNumberFormat="1" applyFont="1" applyAlignment="1">
      <alignment horizontal="center" vertical="center"/>
    </xf>
    <xf numFmtId="0" fontId="18" fillId="0" borderId="0" xfId="0" applyFont="1" applyAlignment="1">
      <alignment horizontal="left" vertical="top"/>
    </xf>
    <xf numFmtId="1" fontId="19" fillId="0" borderId="0" xfId="2" applyNumberFormat="1" applyFont="1" applyFill="1" applyAlignment="1">
      <alignment horizontal="center" vertical="center"/>
    </xf>
    <xf numFmtId="1" fontId="17" fillId="0" borderId="0" xfId="2" applyNumberFormat="1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37" fontId="26" fillId="0" borderId="22" xfId="0" applyNumberFormat="1" applyFont="1" applyBorder="1"/>
    <xf numFmtId="37" fontId="26" fillId="0" borderId="25" xfId="0" applyNumberFormat="1" applyFont="1" applyBorder="1"/>
    <xf numFmtId="3" fontId="2" fillId="0" borderId="27" xfId="0" applyNumberFormat="1" applyFont="1" applyBorder="1" applyProtection="1">
      <protection locked="0"/>
    </xf>
    <xf numFmtId="3" fontId="2" fillId="0" borderId="29" xfId="0" applyNumberFormat="1" applyFont="1" applyBorder="1" applyProtection="1">
      <protection locked="0"/>
    </xf>
    <xf numFmtId="3" fontId="2" fillId="0" borderId="31" xfId="0" applyNumberFormat="1" applyFont="1" applyBorder="1" applyProtection="1">
      <protection locked="0"/>
    </xf>
    <xf numFmtId="3" fontId="1" fillId="0" borderId="31" xfId="0" applyNumberFormat="1" applyFont="1" applyBorder="1" applyProtection="1">
      <protection locked="0"/>
    </xf>
    <xf numFmtId="167" fontId="1" fillId="0" borderId="31" xfId="1" applyNumberFormat="1" applyFont="1" applyFill="1" applyBorder="1" applyAlignment="1" applyProtection="1">
      <protection locked="0"/>
    </xf>
    <xf numFmtId="167" fontId="1" fillId="0" borderId="32" xfId="1" applyNumberFormat="1" applyFont="1" applyFill="1" applyBorder="1" applyAlignment="1" applyProtection="1">
      <protection locked="0"/>
    </xf>
    <xf numFmtId="3" fontId="8" fillId="0" borderId="24" xfId="0" applyNumberFormat="1" applyFont="1" applyBorder="1"/>
    <xf numFmtId="3" fontId="8" fillId="0" borderId="33" xfId="0" applyNumberFormat="1" applyFont="1" applyBorder="1"/>
    <xf numFmtId="164" fontId="2" fillId="0" borderId="26" xfId="0" applyNumberFormat="1" applyFont="1" applyBorder="1" applyProtection="1">
      <protection locked="0"/>
    </xf>
    <xf numFmtId="164" fontId="1" fillId="0" borderId="34" xfId="0" applyNumberFormat="1" applyFont="1" applyBorder="1"/>
    <xf numFmtId="3" fontId="2" fillId="0" borderId="35" xfId="0" applyNumberFormat="1" applyFont="1" applyBorder="1"/>
    <xf numFmtId="3" fontId="1" fillId="0" borderId="36" xfId="0" applyNumberFormat="1" applyFont="1" applyBorder="1" applyProtection="1">
      <protection locked="0"/>
    </xf>
    <xf numFmtId="3" fontId="2" fillId="0" borderId="37" xfId="0" applyNumberFormat="1" applyFont="1" applyBorder="1"/>
    <xf numFmtId="3" fontId="2" fillId="0" borderId="39" xfId="0" applyNumberFormat="1" applyFont="1" applyBorder="1"/>
    <xf numFmtId="3" fontId="2" fillId="0" borderId="40" xfId="0" applyNumberFormat="1" applyFont="1" applyBorder="1"/>
    <xf numFmtId="3" fontId="2" fillId="0" borderId="41" xfId="0" applyNumberFormat="1" applyFont="1" applyBorder="1"/>
    <xf numFmtId="3" fontId="2" fillId="0" borderId="36" xfId="0" applyNumberFormat="1" applyFont="1" applyBorder="1"/>
    <xf numFmtId="164" fontId="8" fillId="0" borderId="24" xfId="0" applyNumberFormat="1" applyFont="1" applyBorder="1"/>
    <xf numFmtId="164" fontId="8" fillId="0" borderId="9" xfId="0" applyNumberFormat="1" applyFont="1" applyBorder="1"/>
    <xf numFmtId="164" fontId="8" fillId="0" borderId="42" xfId="0" applyNumberFormat="1" applyFont="1" applyBorder="1"/>
    <xf numFmtId="3" fontId="2" fillId="0" borderId="45" xfId="0" applyNumberFormat="1" applyFont="1" applyBorder="1" applyProtection="1">
      <protection locked="0"/>
    </xf>
    <xf numFmtId="3" fontId="2" fillId="0" borderId="48" xfId="0" applyNumberFormat="1" applyFont="1" applyBorder="1" applyProtection="1">
      <protection locked="0"/>
    </xf>
    <xf numFmtId="3" fontId="15" fillId="0" borderId="48" xfId="0" applyNumberFormat="1" applyFont="1" applyBorder="1" applyProtection="1">
      <protection locked="0"/>
    </xf>
    <xf numFmtId="3" fontId="8" fillId="0" borderId="50" xfId="0" applyNumberFormat="1" applyFont="1" applyBorder="1"/>
    <xf numFmtId="3" fontId="1" fillId="0" borderId="43" xfId="0" applyNumberFormat="1" applyFont="1" applyBorder="1" applyProtection="1">
      <protection locked="0"/>
    </xf>
    <xf numFmtId="3" fontId="1" fillId="0" borderId="51" xfId="0" applyNumberFormat="1" applyFont="1" applyBorder="1" applyProtection="1">
      <protection locked="0"/>
    </xf>
    <xf numFmtId="3" fontId="1" fillId="0" borderId="52" xfId="0" applyNumberFormat="1" applyFont="1" applyBorder="1" applyProtection="1">
      <protection locked="0"/>
    </xf>
    <xf numFmtId="3" fontId="2" fillId="0" borderId="51" xfId="0" applyNumberFormat="1" applyFont="1" applyBorder="1" applyProtection="1">
      <protection locked="0"/>
    </xf>
    <xf numFmtId="3" fontId="2" fillId="0" borderId="52" xfId="0" applyNumberFormat="1" applyFont="1" applyBorder="1" applyProtection="1">
      <protection locked="0"/>
    </xf>
    <xf numFmtId="3" fontId="2" fillId="0" borderId="53" xfId="0" applyNumberFormat="1" applyFont="1" applyBorder="1" applyProtection="1">
      <protection locked="0"/>
    </xf>
    <xf numFmtId="3" fontId="2" fillId="0" borderId="54" xfId="0" applyNumberFormat="1" applyFont="1" applyBorder="1" applyProtection="1">
      <protection locked="0"/>
    </xf>
    <xf numFmtId="3" fontId="2" fillId="0" borderId="35" xfId="0" applyNumberFormat="1" applyFont="1" applyBorder="1" applyProtection="1">
      <protection locked="0"/>
    </xf>
    <xf numFmtId="3" fontId="2" fillId="0" borderId="55" xfId="0" applyNumberFormat="1" applyFont="1" applyBorder="1" applyProtection="1">
      <protection locked="0"/>
    </xf>
    <xf numFmtId="3" fontId="8" fillId="0" borderId="56" xfId="0" applyNumberFormat="1" applyFont="1" applyBorder="1"/>
    <xf numFmtId="3" fontId="8" fillId="0" borderId="18" xfId="0" applyNumberFormat="1" applyFont="1" applyBorder="1"/>
    <xf numFmtId="164" fontId="8" fillId="0" borderId="57" xfId="0" applyNumberFormat="1" applyFont="1" applyBorder="1"/>
    <xf numFmtId="164" fontId="8" fillId="0" borderId="0" xfId="0" applyNumberFormat="1" applyFont="1"/>
    <xf numFmtId="0" fontId="3" fillId="0" borderId="19" xfId="0" applyFont="1" applyBorder="1" applyAlignment="1">
      <alignment horizontal="centerContinuous"/>
    </xf>
    <xf numFmtId="164" fontId="3" fillId="0" borderId="19" xfId="0" applyNumberFormat="1" applyFont="1" applyBorder="1" applyAlignment="1">
      <alignment horizontal="centerContinuous"/>
    </xf>
    <xf numFmtId="173" fontId="1" fillId="0" borderId="0" xfId="3" applyNumberFormat="1" applyFont="1" applyBorder="1" applyAlignment="1"/>
    <xf numFmtId="167" fontId="1" fillId="0" borderId="0" xfId="1" applyNumberFormat="1" applyFont="1" applyBorder="1" applyAlignment="1"/>
    <xf numFmtId="1" fontId="8" fillId="0" borderId="13" xfId="0" applyNumberFormat="1" applyFont="1" applyBorder="1"/>
    <xf numFmtId="1" fontId="8" fillId="0" borderId="60" xfId="0" applyNumberFormat="1" applyFont="1" applyBorder="1"/>
    <xf numFmtId="1" fontId="8" fillId="0" borderId="62" xfId="0" applyNumberFormat="1" applyFont="1" applyBorder="1"/>
    <xf numFmtId="1" fontId="8" fillId="2" borderId="58" xfId="0" applyNumberFormat="1" applyFont="1" applyFill="1" applyBorder="1" applyAlignment="1">
      <alignment horizontal="center"/>
    </xf>
    <xf numFmtId="1" fontId="8" fillId="0" borderId="20" xfId="0" applyNumberFormat="1" applyFont="1" applyBorder="1"/>
    <xf numFmtId="1" fontId="8" fillId="0" borderId="61" xfId="0" applyNumberFormat="1" applyFont="1" applyBorder="1"/>
    <xf numFmtId="169" fontId="21" fillId="4" borderId="63" xfId="2" applyNumberFormat="1" applyFont="1" applyFill="1" applyBorder="1" applyAlignment="1">
      <alignment horizontal="left" vertical="top"/>
    </xf>
    <xf numFmtId="0" fontId="0" fillId="4" borderId="63" xfId="0" applyFill="1" applyBorder="1" applyAlignment="1">
      <alignment horizontal="center" vertical="center"/>
    </xf>
    <xf numFmtId="1" fontId="8" fillId="5" borderId="59" xfId="0" applyNumberFormat="1" applyFont="1" applyFill="1" applyBorder="1" applyAlignment="1">
      <alignment horizontal="center"/>
    </xf>
    <xf numFmtId="3" fontId="2" fillId="6" borderId="27" xfId="0" applyNumberFormat="1" applyFont="1" applyFill="1" applyBorder="1" applyProtection="1">
      <protection locked="0"/>
    </xf>
    <xf numFmtId="3" fontId="2" fillId="6" borderId="29" xfId="0" applyNumberFormat="1" applyFont="1" applyFill="1" applyBorder="1" applyProtection="1">
      <protection locked="0"/>
    </xf>
    <xf numFmtId="3" fontId="2" fillId="6" borderId="30" xfId="0" applyNumberFormat="1" applyFont="1" applyFill="1" applyBorder="1" applyProtection="1">
      <protection locked="0"/>
    </xf>
    <xf numFmtId="1" fontId="1" fillId="6" borderId="30" xfId="0" applyNumberFormat="1" applyFont="1" applyFill="1" applyBorder="1" applyProtection="1">
      <protection locked="0"/>
    </xf>
    <xf numFmtId="1" fontId="1" fillId="6" borderId="30" xfId="1" applyNumberFormat="1" applyFont="1" applyFill="1" applyBorder="1" applyAlignment="1" applyProtection="1">
      <protection locked="0"/>
    </xf>
    <xf numFmtId="1" fontId="1" fillId="6" borderId="29" xfId="1" applyNumberFormat="1" applyFont="1" applyFill="1" applyBorder="1" applyAlignment="1" applyProtection="1">
      <protection locked="0"/>
    </xf>
    <xf numFmtId="3" fontId="2" fillId="7" borderId="26" xfId="0" applyNumberFormat="1" applyFont="1" applyFill="1" applyBorder="1" applyProtection="1">
      <protection locked="0"/>
    </xf>
    <xf numFmtId="3" fontId="2" fillId="7" borderId="28" xfId="0" applyNumberFormat="1" applyFont="1" applyFill="1" applyBorder="1" applyProtection="1">
      <protection locked="0"/>
    </xf>
    <xf numFmtId="3" fontId="15" fillId="7" borderId="49" xfId="0" applyNumberFormat="1" applyFont="1" applyFill="1" applyBorder="1" applyProtection="1">
      <protection locked="0"/>
    </xf>
    <xf numFmtId="3" fontId="1" fillId="0" borderId="44" xfId="0" applyNumberFormat="1" applyFont="1" applyBorder="1" applyProtection="1">
      <protection locked="0"/>
    </xf>
    <xf numFmtId="3" fontId="1" fillId="0" borderId="47" xfId="0" applyNumberFormat="1" applyFont="1" applyBorder="1" applyProtection="1">
      <protection locked="0"/>
    </xf>
    <xf numFmtId="3" fontId="1" fillId="7" borderId="47" xfId="0" applyNumberFormat="1" applyFont="1" applyFill="1" applyBorder="1" applyProtection="1">
      <protection locked="0"/>
    </xf>
    <xf numFmtId="3" fontId="1" fillId="7" borderId="44" xfId="0" applyNumberFormat="1" applyFont="1" applyFill="1" applyBorder="1" applyProtection="1">
      <protection locked="0"/>
    </xf>
    <xf numFmtId="3" fontId="1" fillId="7" borderId="49" xfId="0" applyNumberFormat="1" applyFont="1" applyFill="1" applyBorder="1" applyProtection="1">
      <protection locked="0"/>
    </xf>
    <xf numFmtId="3" fontId="1" fillId="7" borderId="46" xfId="0" applyNumberFormat="1" applyFont="1" applyFill="1" applyBorder="1" applyProtection="1">
      <protection locked="0"/>
    </xf>
    <xf numFmtId="3" fontId="1" fillId="0" borderId="38" xfId="0" applyNumberFormat="1" applyFont="1" applyBorder="1" applyProtection="1">
      <protection locked="0"/>
    </xf>
    <xf numFmtId="0" fontId="21" fillId="0" borderId="64" xfId="0" applyFont="1" applyBorder="1" applyAlignment="1">
      <alignment horizontal="center" vertical="center"/>
    </xf>
    <xf numFmtId="169" fontId="21" fillId="0" borderId="64" xfId="2" applyNumberFormat="1" applyFont="1" applyBorder="1" applyAlignment="1">
      <alignment horizontal="left" vertical="top"/>
    </xf>
    <xf numFmtId="169" fontId="21" fillId="0" borderId="64" xfId="2" applyNumberFormat="1" applyFont="1" applyBorder="1" applyAlignment="1">
      <alignment horizontal="center" vertical="center"/>
    </xf>
    <xf numFmtId="169" fontId="21" fillId="0" borderId="64" xfId="0" applyNumberFormat="1" applyFont="1" applyBorder="1" applyAlignment="1">
      <alignment horizontal="center" vertical="center"/>
    </xf>
    <xf numFmtId="169" fontId="21" fillId="0" borderId="64" xfId="2" applyNumberFormat="1" applyFont="1" applyFill="1" applyBorder="1" applyAlignment="1">
      <alignment horizontal="left" vertical="top"/>
    </xf>
    <xf numFmtId="169" fontId="21" fillId="0" borderId="64" xfId="2" applyNumberFormat="1" applyFont="1" applyFill="1" applyBorder="1" applyAlignment="1">
      <alignment horizontal="center" vertical="center"/>
    </xf>
    <xf numFmtId="169" fontId="18" fillId="3" borderId="65" xfId="2" applyNumberFormat="1" applyFont="1" applyFill="1" applyBorder="1" applyAlignment="1">
      <alignment horizontal="left" vertical="top"/>
    </xf>
    <xf numFmtId="169" fontId="18" fillId="3" borderId="65" xfId="2" applyNumberFormat="1" applyFont="1" applyFill="1" applyBorder="1" applyAlignment="1">
      <alignment horizontal="center" vertical="center"/>
    </xf>
    <xf numFmtId="37" fontId="26" fillId="0" borderId="66" xfId="0" applyNumberFormat="1" applyFont="1" applyBorder="1"/>
    <xf numFmtId="3" fontId="2" fillId="0" borderId="21" xfId="0" applyNumberFormat="1" applyFont="1" applyBorder="1"/>
    <xf numFmtId="3" fontId="1" fillId="0" borderId="67" xfId="0" applyNumberFormat="1" applyFont="1" applyBorder="1" applyProtection="1">
      <protection locked="0"/>
    </xf>
    <xf numFmtId="164" fontId="1" fillId="0" borderId="64" xfId="0" applyNumberFormat="1" applyFont="1" applyBorder="1"/>
    <xf numFmtId="164" fontId="1" fillId="0" borderId="64" xfId="0" applyNumberFormat="1" applyFont="1" applyBorder="1" applyProtection="1">
      <protection locked="0"/>
    </xf>
    <xf numFmtId="3" fontId="1" fillId="0" borderId="46" xfId="0" applyNumberFormat="1" applyFont="1" applyBorder="1" applyProtection="1">
      <protection locked="0"/>
    </xf>
    <xf numFmtId="3" fontId="2" fillId="0" borderId="68" xfId="0" applyNumberFormat="1" applyFont="1" applyBorder="1" applyProtection="1">
      <protection locked="0"/>
    </xf>
    <xf numFmtId="3" fontId="2" fillId="0" borderId="69" xfId="0" applyNumberFormat="1" applyFont="1" applyBorder="1" applyProtection="1">
      <protection locked="0"/>
    </xf>
    <xf numFmtId="0" fontId="25" fillId="0" borderId="0" xfId="0" applyFont="1" applyAlignment="1">
      <alignment horizontal="left" vertical="top"/>
    </xf>
    <xf numFmtId="2" fontId="0" fillId="0" borderId="0" xfId="2" applyNumberFormat="1" applyFont="1" applyFill="1" applyAlignment="1">
      <alignment horizontal="left" vertical="top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65" xfId="0" applyFont="1" applyBorder="1" applyAlignment="1">
      <alignment horizontal="left" vertical="top"/>
    </xf>
    <xf numFmtId="0" fontId="17" fillId="0" borderId="65" xfId="0" applyFont="1" applyBorder="1" applyAlignment="1">
      <alignment horizontal="left" vertical="top"/>
    </xf>
    <xf numFmtId="169" fontId="18" fillId="0" borderId="65" xfId="2" applyNumberFormat="1" applyFont="1" applyFill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169" fontId="18" fillId="0" borderId="0" xfId="2" applyNumberFormat="1" applyFont="1" applyFill="1" applyBorder="1" applyAlignment="1">
      <alignment horizontal="left" vertical="top"/>
    </xf>
    <xf numFmtId="0" fontId="28" fillId="0" borderId="0" xfId="0" applyFont="1" applyAlignment="1">
      <alignment horizontal="left" vertical="top"/>
    </xf>
    <xf numFmtId="0" fontId="28" fillId="0" borderId="0" xfId="0" applyFont="1" applyAlignment="1">
      <alignment horizontal="center" vertical="center"/>
    </xf>
    <xf numFmtId="2" fontId="28" fillId="0" borderId="0" xfId="2" applyNumberFormat="1" applyFont="1" applyFill="1" applyAlignment="1">
      <alignment horizontal="left" vertical="top"/>
    </xf>
    <xf numFmtId="9" fontId="28" fillId="0" borderId="0" xfId="3" applyFont="1" applyFill="1" applyAlignment="1">
      <alignment horizontal="left" vertical="top"/>
    </xf>
    <xf numFmtId="0" fontId="18" fillId="0" borderId="64" xfId="0" applyFont="1" applyBorder="1" applyAlignment="1">
      <alignment horizontal="left" vertical="top"/>
    </xf>
    <xf numFmtId="0" fontId="18" fillId="0" borderId="64" xfId="0" applyFont="1" applyBorder="1" applyAlignment="1">
      <alignment horizontal="center" vertical="center"/>
    </xf>
    <xf numFmtId="168" fontId="18" fillId="0" borderId="64" xfId="0" applyNumberFormat="1" applyFont="1" applyBorder="1" applyAlignment="1">
      <alignment horizontal="center" vertical="center"/>
    </xf>
    <xf numFmtId="169" fontId="18" fillId="0" borderId="64" xfId="2" applyNumberFormat="1" applyFont="1" applyFill="1" applyBorder="1" applyAlignment="1">
      <alignment horizontal="left" vertical="top"/>
    </xf>
    <xf numFmtId="169" fontId="18" fillId="0" borderId="0" xfId="2" applyNumberFormat="1" applyFont="1" applyFill="1" applyAlignment="1">
      <alignment horizontal="left" vertical="top"/>
    </xf>
    <xf numFmtId="0" fontId="18" fillId="0" borderId="63" xfId="0" applyFont="1" applyBorder="1" applyAlignment="1">
      <alignment horizontal="left" vertical="top"/>
    </xf>
    <xf numFmtId="0" fontId="28" fillId="0" borderId="63" xfId="0" applyFont="1" applyBorder="1" applyAlignment="1">
      <alignment horizontal="left" vertical="top"/>
    </xf>
    <xf numFmtId="169" fontId="18" fillId="0" borderId="63" xfId="2" applyNumberFormat="1" applyFont="1" applyFill="1" applyBorder="1" applyAlignment="1">
      <alignment horizontal="left" vertical="top"/>
    </xf>
    <xf numFmtId="167" fontId="28" fillId="0" borderId="0" xfId="1" applyNumberFormat="1" applyFont="1" applyFill="1" applyAlignment="1">
      <alignment horizontal="left" vertical="top"/>
    </xf>
    <xf numFmtId="38" fontId="28" fillId="0" borderId="0" xfId="1" applyNumberFormat="1" applyFont="1" applyFill="1" applyAlignment="1">
      <alignment horizontal="right" vertical="top"/>
    </xf>
  </cellXfs>
  <cellStyles count="8">
    <cellStyle name="Comma" xfId="1" builtinId="3"/>
    <cellStyle name="Currency" xfId="2" builtinId="4"/>
    <cellStyle name="Excel Built-in Comma" xfId="6" xr:uid="{00000000-0005-0000-0000-000002000000}"/>
    <cellStyle name="Excel Built-in Currency" xfId="7" xr:uid="{00000000-0005-0000-0000-000003000000}"/>
    <cellStyle name="Excel Built-in Normal" xfId="5" xr:uid="{00000000-0005-0000-0000-000004000000}"/>
    <cellStyle name="Hyperlink" xfId="4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wn\AppData\Local\Microsoft\Windows\INetCache\Content.Outlook\WE4EW1L5\2022%20Laurel%20Lakes%20Reserves%20Budget%209-22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A1"/>
      <sheetName val="Reserves Comparisons"/>
      <sheetName val="Tracking"/>
    </sheetNames>
    <sheetDataSet>
      <sheetData sheetId="0" refreshError="1">
        <row r="10">
          <cell r="D10">
            <v>1500</v>
          </cell>
        </row>
        <row r="11">
          <cell r="D11">
            <v>2005</v>
          </cell>
        </row>
        <row r="12">
          <cell r="D12">
            <v>831</v>
          </cell>
        </row>
        <row r="13">
          <cell r="D13">
            <v>640</v>
          </cell>
        </row>
        <row r="14">
          <cell r="D14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>
    <pageSetUpPr fitToPage="1"/>
  </sheetPr>
  <dimension ref="A1:J117"/>
  <sheetViews>
    <sheetView tabSelected="1" showOutlineSymbols="0" zoomScale="70" zoomScaleNormal="70" workbookViewId="0">
      <selection activeCell="M43" sqref="M43"/>
    </sheetView>
  </sheetViews>
  <sheetFormatPr defaultColWidth="9.6640625" defaultRowHeight="15"/>
  <cols>
    <col min="1" max="1" width="5.44140625" style="1" customWidth="1"/>
    <col min="2" max="2" width="28" style="1" customWidth="1"/>
    <col min="3" max="3" width="7.77734375" style="1" customWidth="1"/>
    <col min="4" max="4" width="11.44140625" style="1" bestFit="1" customWidth="1"/>
    <col min="5" max="5" width="12.88671875" style="1" bestFit="1" customWidth="1"/>
    <col min="6" max="6" width="11.44140625" style="1" bestFit="1" customWidth="1"/>
    <col min="7" max="7" width="6.6640625" style="1" bestFit="1" customWidth="1"/>
    <col min="8" max="8" width="18.33203125" style="1" bestFit="1" customWidth="1"/>
    <col min="9" max="9" width="33.44140625" style="1" bestFit="1" customWidth="1"/>
    <col min="10" max="16384" width="9.6640625" style="1"/>
  </cols>
  <sheetData>
    <row r="1" spans="1:7" ht="23.25">
      <c r="B1" s="48"/>
      <c r="C1" s="49" t="s">
        <v>123</v>
      </c>
      <c r="D1" s="2"/>
      <c r="E1" s="2"/>
      <c r="F1" s="2"/>
      <c r="G1" s="3"/>
    </row>
    <row r="2" spans="1:7">
      <c r="A2" s="36" t="s">
        <v>134</v>
      </c>
      <c r="B2" s="2"/>
      <c r="C2" s="2"/>
      <c r="D2" s="2"/>
      <c r="E2" s="2"/>
      <c r="F2" s="2"/>
      <c r="G2" s="3"/>
    </row>
    <row r="3" spans="1:7">
      <c r="A3" s="37" t="s">
        <v>135</v>
      </c>
      <c r="B3" s="2"/>
      <c r="C3" s="2"/>
      <c r="D3" s="2"/>
      <c r="E3" s="2"/>
      <c r="F3" s="2"/>
      <c r="G3" s="3"/>
    </row>
    <row r="4" spans="1:7">
      <c r="A4" s="37" t="s">
        <v>136</v>
      </c>
      <c r="B4" s="2"/>
      <c r="C4" s="2"/>
      <c r="D4" s="2"/>
      <c r="E4" s="2"/>
      <c r="F4" s="2"/>
      <c r="G4" s="3"/>
    </row>
    <row r="5" spans="1:7">
      <c r="A5" s="3"/>
      <c r="B5" s="3"/>
      <c r="C5" s="3"/>
      <c r="D5" s="3"/>
      <c r="E5" s="3"/>
      <c r="F5" s="3"/>
      <c r="G5" s="3"/>
    </row>
    <row r="6" spans="1:7">
      <c r="A6" s="5"/>
      <c r="B6" s="6"/>
      <c r="C6" s="6"/>
      <c r="D6" s="7">
        <v>2022</v>
      </c>
      <c r="E6" s="8"/>
      <c r="F6" s="76">
        <v>2023</v>
      </c>
      <c r="G6" s="3"/>
    </row>
    <row r="7" spans="1:7">
      <c r="A7" s="9"/>
      <c r="B7" s="10"/>
      <c r="C7" s="10"/>
      <c r="D7" s="11" t="s">
        <v>18</v>
      </c>
      <c r="E7" s="11" t="s">
        <v>19</v>
      </c>
      <c r="F7" s="77" t="s">
        <v>137</v>
      </c>
      <c r="G7" s="3"/>
    </row>
    <row r="8" spans="1:7">
      <c r="A8" s="32" t="s">
        <v>0</v>
      </c>
      <c r="B8" s="33"/>
      <c r="C8" s="33"/>
      <c r="D8" s="34" t="s">
        <v>58</v>
      </c>
      <c r="E8" s="12" t="s">
        <v>20</v>
      </c>
      <c r="F8" s="77" t="s">
        <v>20</v>
      </c>
      <c r="G8" s="3"/>
    </row>
    <row r="9" spans="1:7">
      <c r="A9" s="14">
        <v>5010</v>
      </c>
      <c r="B9" s="14" t="s">
        <v>7</v>
      </c>
      <c r="C9" s="14"/>
      <c r="D9" s="104">
        <f>E9</f>
        <v>298564</v>
      </c>
      <c r="E9" s="105">
        <f>E16-SUM(E11:E15)</f>
        <v>298564</v>
      </c>
      <c r="F9" s="105">
        <f>F16-SUM(F11:F15)</f>
        <v>302285</v>
      </c>
      <c r="G9" s="3"/>
    </row>
    <row r="10" spans="1:7">
      <c r="A10" s="14">
        <v>5030</v>
      </c>
      <c r="B10" s="14" t="s">
        <v>132</v>
      </c>
      <c r="C10" s="14"/>
      <c r="D10" s="174" t="s">
        <v>56</v>
      </c>
      <c r="E10" s="173">
        <v>0</v>
      </c>
      <c r="F10" s="173">
        <v>0</v>
      </c>
      <c r="G10" s="3"/>
    </row>
    <row r="11" spans="1:7">
      <c r="A11" s="14">
        <v>5040</v>
      </c>
      <c r="B11" s="14" t="s">
        <v>28</v>
      </c>
      <c r="C11" s="14"/>
      <c r="D11" s="170" t="s">
        <v>56</v>
      </c>
      <c r="E11" s="171">
        <v>0</v>
      </c>
      <c r="F11" s="172">
        <v>0</v>
      </c>
      <c r="G11" s="3"/>
    </row>
    <row r="12" spans="1:7">
      <c r="A12" s="14">
        <v>5045</v>
      </c>
      <c r="B12" s="14" t="s">
        <v>133</v>
      </c>
      <c r="C12" s="14"/>
      <c r="D12" s="94" t="s">
        <v>56</v>
      </c>
      <c r="E12" s="106">
        <v>0</v>
      </c>
      <c r="F12" s="107">
        <v>0</v>
      </c>
      <c r="G12" s="3"/>
    </row>
    <row r="13" spans="1:7">
      <c r="A13" s="14">
        <v>5050</v>
      </c>
      <c r="B13" s="14" t="s">
        <v>29</v>
      </c>
      <c r="C13" s="14"/>
      <c r="D13" s="94" t="s">
        <v>56</v>
      </c>
      <c r="E13" s="106">
        <v>0</v>
      </c>
      <c r="F13" s="107">
        <v>0</v>
      </c>
      <c r="G13" s="3"/>
    </row>
    <row r="14" spans="1:7">
      <c r="A14" s="14">
        <v>5060</v>
      </c>
      <c r="B14" s="14" t="s">
        <v>53</v>
      </c>
      <c r="C14" s="14"/>
      <c r="D14" s="94" t="s">
        <v>56</v>
      </c>
      <c r="E14" s="106">
        <v>0</v>
      </c>
      <c r="F14" s="107">
        <v>0</v>
      </c>
      <c r="G14" s="3"/>
    </row>
    <row r="15" spans="1:7" ht="15.75" thickBot="1">
      <c r="A15" s="14">
        <v>5070</v>
      </c>
      <c r="B15" s="14" t="s">
        <v>30</v>
      </c>
      <c r="C15" s="14"/>
      <c r="D15" s="95" t="s">
        <v>56</v>
      </c>
      <c r="E15" s="108">
        <v>0</v>
      </c>
      <c r="F15" s="161">
        <v>0</v>
      </c>
      <c r="G15" s="81"/>
    </row>
    <row r="16" spans="1:7">
      <c r="A16" s="14"/>
      <c r="B16" s="15" t="s">
        <v>8</v>
      </c>
      <c r="C16" s="15"/>
      <c r="D16" s="109">
        <f>SUM(D9:D15)</f>
        <v>298564</v>
      </c>
      <c r="E16" s="16">
        <f>E76</f>
        <v>298564</v>
      </c>
      <c r="F16" s="110">
        <f>F76</f>
        <v>302285</v>
      </c>
      <c r="G16" s="3"/>
    </row>
    <row r="17" spans="1:9" ht="15.75" thickBot="1">
      <c r="A17" s="14"/>
      <c r="B17" s="14" t="s">
        <v>5</v>
      </c>
      <c r="C17" s="14"/>
      <c r="D17" s="106">
        <f>E17</f>
        <v>247136</v>
      </c>
      <c r="E17" s="111">
        <f>E78</f>
        <v>247136</v>
      </c>
      <c r="F17" s="112">
        <f>F78</f>
        <v>275279.08</v>
      </c>
      <c r="G17" s="3"/>
    </row>
    <row r="18" spans="1:9" ht="15.75">
      <c r="A18" s="3"/>
      <c r="B18" s="15" t="s">
        <v>9</v>
      </c>
      <c r="C18" s="15"/>
      <c r="D18" s="113">
        <f>D17+D16</f>
        <v>545700</v>
      </c>
      <c r="E18" s="114">
        <f>SUM(E16:E17)</f>
        <v>545700</v>
      </c>
      <c r="F18" s="115">
        <f>F17+F16</f>
        <v>577564.08000000007</v>
      </c>
      <c r="G18" s="3"/>
    </row>
    <row r="19" spans="1:9">
      <c r="A19" s="3"/>
      <c r="B19" s="3"/>
      <c r="C19" s="3"/>
      <c r="D19" s="3"/>
      <c r="E19" s="3"/>
      <c r="F19" s="3"/>
      <c r="G19" s="3"/>
    </row>
    <row r="20" spans="1:9">
      <c r="A20" s="17" t="s">
        <v>1</v>
      </c>
      <c r="B20" s="6"/>
      <c r="C20" s="6"/>
      <c r="D20" s="5"/>
      <c r="E20" s="5"/>
      <c r="F20" s="5"/>
      <c r="G20" s="3"/>
    </row>
    <row r="21" spans="1:9">
      <c r="A21" s="18" t="s">
        <v>2</v>
      </c>
      <c r="B21" s="13"/>
      <c r="C21" s="13"/>
      <c r="D21" s="19"/>
      <c r="E21" s="19"/>
      <c r="F21" s="19"/>
      <c r="G21" s="3"/>
    </row>
    <row r="22" spans="1:9">
      <c r="A22" s="14">
        <v>7110</v>
      </c>
      <c r="B22" s="31" t="s">
        <v>27</v>
      </c>
      <c r="C22" s="14"/>
      <c r="D22" s="152">
        <v>63912</v>
      </c>
      <c r="E22" s="96">
        <v>63919</v>
      </c>
      <c r="F22" s="146">
        <v>66500</v>
      </c>
      <c r="G22" s="86"/>
    </row>
    <row r="23" spans="1:9">
      <c r="A23" s="14">
        <v>7115</v>
      </c>
      <c r="B23" s="14" t="s">
        <v>57</v>
      </c>
      <c r="C23" s="14"/>
      <c r="D23" s="153">
        <v>3788</v>
      </c>
      <c r="E23" s="97">
        <v>15000</v>
      </c>
      <c r="F23" s="147">
        <v>12000</v>
      </c>
      <c r="G23" s="86"/>
      <c r="I23" s="74"/>
    </row>
    <row r="24" spans="1:9">
      <c r="A24" s="14">
        <v>7120</v>
      </c>
      <c r="B24" s="14" t="s">
        <v>55</v>
      </c>
      <c r="C24" s="14"/>
      <c r="D24" s="153">
        <v>8949</v>
      </c>
      <c r="E24" s="97">
        <v>11500</v>
      </c>
      <c r="F24" s="147">
        <v>7000</v>
      </c>
      <c r="G24" s="86"/>
    </row>
    <row r="25" spans="1:9">
      <c r="A25" s="14">
        <v>7140</v>
      </c>
      <c r="B25" s="14" t="s">
        <v>59</v>
      </c>
      <c r="C25" s="14"/>
      <c r="D25" s="153">
        <v>9079</v>
      </c>
      <c r="E25" s="97">
        <v>5000</v>
      </c>
      <c r="F25" s="147">
        <v>6550</v>
      </c>
      <c r="G25" s="86"/>
      <c r="I25" s="74"/>
    </row>
    <row r="26" spans="1:9">
      <c r="A26" s="14">
        <v>7145</v>
      </c>
      <c r="B26" s="14" t="s">
        <v>39</v>
      </c>
      <c r="C26" s="14"/>
      <c r="D26" s="153">
        <v>3098</v>
      </c>
      <c r="E26" s="97">
        <v>1000</v>
      </c>
      <c r="F26" s="147">
        <v>1000</v>
      </c>
      <c r="G26" s="86"/>
    </row>
    <row r="27" spans="1:9">
      <c r="A27" s="14">
        <v>7150</v>
      </c>
      <c r="B27" s="14" t="s">
        <v>31</v>
      </c>
      <c r="C27" s="14"/>
      <c r="D27" s="153">
        <v>7267</v>
      </c>
      <c r="E27" s="97">
        <v>10000</v>
      </c>
      <c r="F27" s="147">
        <v>7000</v>
      </c>
      <c r="G27" s="86"/>
    </row>
    <row r="28" spans="1:9">
      <c r="A28" s="14">
        <v>7157</v>
      </c>
      <c r="B28" s="14" t="s">
        <v>40</v>
      </c>
      <c r="C28" s="14"/>
      <c r="D28" s="153">
        <v>14355</v>
      </c>
      <c r="E28" s="98">
        <v>6300</v>
      </c>
      <c r="F28" s="148">
        <v>9100</v>
      </c>
      <c r="G28" s="86"/>
    </row>
    <row r="29" spans="1:9">
      <c r="A29" s="14">
        <v>7158</v>
      </c>
      <c r="B29" s="14" t="s">
        <v>41</v>
      </c>
      <c r="C29" s="14"/>
      <c r="D29" s="153">
        <v>2519</v>
      </c>
      <c r="E29" s="98">
        <v>500</v>
      </c>
      <c r="F29" s="148">
        <v>500</v>
      </c>
      <c r="G29" s="86"/>
    </row>
    <row r="30" spans="1:9">
      <c r="A30" s="14">
        <v>7161</v>
      </c>
      <c r="B30" s="14" t="s">
        <v>124</v>
      </c>
      <c r="C30" s="14"/>
      <c r="D30" s="153">
        <v>0</v>
      </c>
      <c r="E30" s="98">
        <v>5250</v>
      </c>
      <c r="F30" s="148">
        <v>5500</v>
      </c>
      <c r="G30" s="86"/>
    </row>
    <row r="31" spans="1:9">
      <c r="A31" s="14">
        <v>7162</v>
      </c>
      <c r="B31" s="14" t="s">
        <v>73</v>
      </c>
      <c r="C31" s="14"/>
      <c r="D31" s="153">
        <v>0</v>
      </c>
      <c r="E31" s="98">
        <v>5250</v>
      </c>
      <c r="F31" s="148">
        <v>5500</v>
      </c>
      <c r="G31" s="86"/>
    </row>
    <row r="32" spans="1:9">
      <c r="A32" s="14">
        <v>7170</v>
      </c>
      <c r="B32" s="14" t="s">
        <v>32</v>
      </c>
      <c r="C32" s="14"/>
      <c r="D32" s="153">
        <v>18045</v>
      </c>
      <c r="E32" s="99">
        <v>16500</v>
      </c>
      <c r="F32" s="149">
        <v>16850</v>
      </c>
      <c r="G32" s="86"/>
    </row>
    <row r="33" spans="1:9">
      <c r="A33" s="14">
        <v>7180</v>
      </c>
      <c r="B33" s="14" t="s">
        <v>36</v>
      </c>
      <c r="C33" s="14"/>
      <c r="D33" s="153">
        <v>2775</v>
      </c>
      <c r="E33" s="100">
        <v>2000</v>
      </c>
      <c r="F33" s="150">
        <v>2000</v>
      </c>
      <c r="G33" s="86"/>
    </row>
    <row r="34" spans="1:9" ht="15.75" thickBot="1">
      <c r="A34" s="14">
        <v>7186</v>
      </c>
      <c r="B34" s="14" t="s">
        <v>109</v>
      </c>
      <c r="C34" s="14"/>
      <c r="D34" s="153">
        <v>1213</v>
      </c>
      <c r="E34" s="101">
        <v>2500</v>
      </c>
      <c r="F34" s="151">
        <v>2500</v>
      </c>
      <c r="G34" s="86"/>
    </row>
    <row r="35" spans="1:9" ht="15.75">
      <c r="A35" s="14"/>
      <c r="B35" s="14" t="s">
        <v>10</v>
      </c>
      <c r="C35" s="14"/>
      <c r="D35" s="102">
        <f>SUM(D22:D34)</f>
        <v>135000</v>
      </c>
      <c r="E35" s="44">
        <f>SUM(E22:E34)</f>
        <v>144719</v>
      </c>
      <c r="F35" s="103">
        <f>SUM(F22:F34)</f>
        <v>142000</v>
      </c>
      <c r="G35" s="86"/>
    </row>
    <row r="36" spans="1:9" ht="15.75">
      <c r="A36" s="14"/>
      <c r="B36" s="14"/>
      <c r="C36" s="14"/>
      <c r="D36" s="29"/>
      <c r="E36" s="29"/>
      <c r="F36" s="29"/>
      <c r="G36" s="86"/>
    </row>
    <row r="37" spans="1:9">
      <c r="A37" s="20" t="s">
        <v>24</v>
      </c>
      <c r="B37" s="14"/>
      <c r="C37" s="14"/>
      <c r="D37" s="30"/>
      <c r="E37" s="30"/>
      <c r="F37" s="30"/>
      <c r="G37" s="3"/>
    </row>
    <row r="38" spans="1:9">
      <c r="A38" s="14">
        <v>7210</v>
      </c>
      <c r="B38" s="14" t="s">
        <v>42</v>
      </c>
      <c r="C38" s="14"/>
      <c r="D38" s="158">
        <v>6837</v>
      </c>
      <c r="E38" s="116">
        <v>14000</v>
      </c>
      <c r="F38" s="160">
        <v>5000</v>
      </c>
      <c r="G38" s="86"/>
      <c r="I38" s="74"/>
    </row>
    <row r="39" spans="1:9">
      <c r="A39" s="14">
        <v>7212</v>
      </c>
      <c r="B39" s="14" t="s">
        <v>69</v>
      </c>
      <c r="C39" s="14"/>
      <c r="D39" s="157">
        <v>1143</v>
      </c>
      <c r="E39" s="117">
        <v>2500</v>
      </c>
      <c r="F39" s="159">
        <v>1500</v>
      </c>
      <c r="G39" s="86"/>
    </row>
    <row r="40" spans="1:9">
      <c r="A40" s="14">
        <v>7220</v>
      </c>
      <c r="B40" s="14" t="s">
        <v>125</v>
      </c>
      <c r="C40" s="14"/>
      <c r="D40" s="157">
        <v>1335</v>
      </c>
      <c r="E40" s="117">
        <v>1040</v>
      </c>
      <c r="F40" s="159">
        <v>1370</v>
      </c>
      <c r="G40" s="86"/>
    </row>
    <row r="41" spans="1:9">
      <c r="A41" s="14">
        <v>7230</v>
      </c>
      <c r="B41" s="14" t="s">
        <v>43</v>
      </c>
      <c r="C41" s="14"/>
      <c r="D41" s="157">
        <v>5400</v>
      </c>
      <c r="E41" s="117">
        <v>6500</v>
      </c>
      <c r="F41" s="159">
        <v>10400</v>
      </c>
      <c r="G41" s="86"/>
    </row>
    <row r="42" spans="1:9">
      <c r="A42" s="14">
        <v>7235</v>
      </c>
      <c r="B42" s="14" t="s">
        <v>44</v>
      </c>
      <c r="C42" s="14"/>
      <c r="D42" s="157">
        <v>766</v>
      </c>
      <c r="E42" s="117">
        <v>500</v>
      </c>
      <c r="F42" s="159">
        <v>1000</v>
      </c>
      <c r="G42" s="86"/>
    </row>
    <row r="43" spans="1:9" s="38" customFormat="1" ht="15.75" thickBot="1">
      <c r="A43" s="51">
        <v>7236</v>
      </c>
      <c r="B43" s="51" t="s">
        <v>70</v>
      </c>
      <c r="C43" s="51"/>
      <c r="D43" s="157">
        <v>0</v>
      </c>
      <c r="E43" s="118">
        <v>1000</v>
      </c>
      <c r="F43" s="154">
        <v>1000</v>
      </c>
      <c r="G43" s="86"/>
      <c r="I43" s="87"/>
    </row>
    <row r="44" spans="1:9" ht="15.75">
      <c r="A44" s="14"/>
      <c r="B44" s="14" t="s">
        <v>25</v>
      </c>
      <c r="C44" s="14"/>
      <c r="D44" s="119">
        <f>SUM(D38:D43)</f>
        <v>15481</v>
      </c>
      <c r="E44" s="44">
        <f>SUM(E38:E43)</f>
        <v>25540</v>
      </c>
      <c r="F44" s="103">
        <f>SUM(F38:F43)</f>
        <v>20270</v>
      </c>
      <c r="G44" s="86"/>
    </row>
    <row r="45" spans="1:9" ht="15.75">
      <c r="A45" s="14"/>
      <c r="B45" s="14"/>
      <c r="C45" s="14"/>
      <c r="D45" s="29"/>
      <c r="E45" s="29"/>
      <c r="F45" s="29"/>
      <c r="G45" s="3"/>
    </row>
    <row r="46" spans="1:9" ht="15.75">
      <c r="A46" s="20" t="s">
        <v>45</v>
      </c>
      <c r="B46" s="14"/>
      <c r="C46" s="14"/>
      <c r="D46" s="29"/>
      <c r="E46" s="29"/>
      <c r="F46" s="29"/>
      <c r="G46" s="3"/>
    </row>
    <row r="47" spans="1:9">
      <c r="A47" s="14">
        <v>7310</v>
      </c>
      <c r="B47" s="14" t="s">
        <v>46</v>
      </c>
      <c r="C47" s="14"/>
      <c r="D47" s="120">
        <v>3780</v>
      </c>
      <c r="E47" s="120">
        <v>3780</v>
      </c>
      <c r="F47" s="120">
        <v>4500</v>
      </c>
      <c r="G47" s="86"/>
    </row>
    <row r="48" spans="1:9">
      <c r="A48" s="14">
        <v>7320</v>
      </c>
      <c r="B48" s="14" t="s">
        <v>47</v>
      </c>
      <c r="C48" s="14"/>
      <c r="D48" s="120">
        <v>1500</v>
      </c>
      <c r="E48" s="120">
        <v>1500</v>
      </c>
      <c r="F48" s="120">
        <v>1500</v>
      </c>
      <c r="G48" s="86"/>
      <c r="I48" s="74"/>
    </row>
    <row r="49" spans="1:7">
      <c r="A49" s="50">
        <v>7335</v>
      </c>
      <c r="B49" s="14" t="s">
        <v>48</v>
      </c>
      <c r="C49" s="14"/>
      <c r="D49" s="120">
        <v>1000</v>
      </c>
      <c r="E49" s="120">
        <v>1000</v>
      </c>
      <c r="F49" s="120">
        <v>1000</v>
      </c>
      <c r="G49" s="86"/>
    </row>
    <row r="50" spans="1:7" ht="15.75" thickBot="1">
      <c r="A50" s="14">
        <v>7350</v>
      </c>
      <c r="B50" s="14" t="s">
        <v>54</v>
      </c>
      <c r="C50" s="14"/>
      <c r="D50" s="120">
        <v>3500</v>
      </c>
      <c r="E50" s="45">
        <v>3500</v>
      </c>
      <c r="F50" s="45">
        <v>5500</v>
      </c>
      <c r="G50" s="86"/>
    </row>
    <row r="51" spans="1:7" ht="15.75">
      <c r="A51" s="14"/>
      <c r="B51" s="14" t="s">
        <v>118</v>
      </c>
      <c r="C51" s="14"/>
      <c r="D51" s="119">
        <f>SUM(D47:D50)</f>
        <v>9780</v>
      </c>
      <c r="E51" s="44">
        <f>SUM(E47:E50)</f>
        <v>9780</v>
      </c>
      <c r="F51" s="103">
        <f>SUM(F47:F50)</f>
        <v>12500</v>
      </c>
      <c r="G51" s="86"/>
    </row>
    <row r="52" spans="1:7" ht="15.75">
      <c r="A52" s="14"/>
      <c r="B52" s="14"/>
      <c r="C52" s="14"/>
      <c r="D52" s="29"/>
      <c r="E52" s="29"/>
      <c r="F52" s="29"/>
      <c r="G52" s="86"/>
    </row>
    <row r="53" spans="1:7">
      <c r="A53" s="20" t="s">
        <v>3</v>
      </c>
      <c r="B53" s="14"/>
      <c r="C53" s="14"/>
      <c r="D53" s="30"/>
      <c r="E53" s="30"/>
      <c r="F53" s="30"/>
      <c r="G53" s="3"/>
    </row>
    <row r="54" spans="1:7">
      <c r="A54" s="14">
        <v>7510</v>
      </c>
      <c r="B54" s="14" t="s">
        <v>50</v>
      </c>
      <c r="C54" s="14"/>
      <c r="D54" s="155">
        <v>1700</v>
      </c>
      <c r="E54" s="116">
        <v>1700</v>
      </c>
      <c r="F54" s="175">
        <v>1800</v>
      </c>
      <c r="G54" s="86"/>
    </row>
    <row r="55" spans="1:7">
      <c r="A55" s="14">
        <v>7511</v>
      </c>
      <c r="B55" s="14" t="s">
        <v>49</v>
      </c>
      <c r="C55" s="14"/>
      <c r="D55" s="156">
        <v>18000</v>
      </c>
      <c r="E55" s="121">
        <v>18000</v>
      </c>
      <c r="F55" s="122">
        <v>22000</v>
      </c>
      <c r="G55" s="86"/>
    </row>
    <row r="56" spans="1:7" ht="15.75" thickBot="1">
      <c r="A56" s="14">
        <v>7520</v>
      </c>
      <c r="B56" s="14" t="s">
        <v>11</v>
      </c>
      <c r="C56" s="14"/>
      <c r="D56" s="156">
        <v>9000</v>
      </c>
      <c r="E56" s="123">
        <v>9000</v>
      </c>
      <c r="F56" s="122">
        <v>12000</v>
      </c>
      <c r="G56" s="86"/>
    </row>
    <row r="57" spans="1:7" ht="15.75">
      <c r="A57" s="14"/>
      <c r="B57" s="14" t="s">
        <v>116</v>
      </c>
      <c r="C57" s="14"/>
      <c r="D57" s="119">
        <f>SUM(D54:D56)</f>
        <v>28700</v>
      </c>
      <c r="E57" s="44">
        <f>SUM(E54:E56)</f>
        <v>28700</v>
      </c>
      <c r="F57" s="103">
        <f>SUM(F54:F56)</f>
        <v>35800</v>
      </c>
      <c r="G57" s="86"/>
    </row>
    <row r="58" spans="1:7" ht="15.75">
      <c r="A58" s="14"/>
      <c r="B58" s="14"/>
      <c r="C58" s="14"/>
      <c r="D58" s="29"/>
      <c r="E58" s="29"/>
      <c r="F58" s="29"/>
      <c r="G58" s="86"/>
    </row>
    <row r="59" spans="1:7">
      <c r="A59" s="20" t="s">
        <v>4</v>
      </c>
      <c r="B59" s="14"/>
      <c r="C59" s="14"/>
      <c r="D59" s="30"/>
      <c r="E59" s="30"/>
      <c r="F59" s="30"/>
      <c r="G59" s="3"/>
    </row>
    <row r="60" spans="1:7">
      <c r="A60" s="14">
        <v>7810</v>
      </c>
      <c r="B60" s="31" t="s">
        <v>33</v>
      </c>
      <c r="C60" s="14"/>
      <c r="D60" s="125">
        <v>19000</v>
      </c>
      <c r="E60" s="126">
        <v>19000</v>
      </c>
      <c r="F60" s="126">
        <v>22400</v>
      </c>
      <c r="G60" s="86"/>
    </row>
    <row r="61" spans="1:7">
      <c r="A61" s="14">
        <v>7820</v>
      </c>
      <c r="B61" s="14" t="s">
        <v>12</v>
      </c>
      <c r="C61" s="14"/>
      <c r="D61" s="127">
        <v>20000</v>
      </c>
      <c r="E61" s="124">
        <v>20000</v>
      </c>
      <c r="F61" s="124">
        <v>20000</v>
      </c>
      <c r="G61" s="86"/>
    </row>
    <row r="62" spans="1:7">
      <c r="A62" s="14">
        <v>7825</v>
      </c>
      <c r="B62" s="14" t="s">
        <v>51</v>
      </c>
      <c r="C62" s="14"/>
      <c r="D62" s="127">
        <v>8400</v>
      </c>
      <c r="E62" s="124">
        <v>8400</v>
      </c>
      <c r="F62" s="124">
        <v>5500</v>
      </c>
      <c r="G62" s="86"/>
    </row>
    <row r="63" spans="1:7">
      <c r="A63" s="14">
        <v>7835</v>
      </c>
      <c r="B63" s="14" t="s">
        <v>13</v>
      </c>
      <c r="C63" s="14"/>
      <c r="D63" s="127">
        <v>700</v>
      </c>
      <c r="E63" s="124">
        <v>700</v>
      </c>
      <c r="F63" s="124">
        <v>700</v>
      </c>
      <c r="G63" s="86"/>
    </row>
    <row r="64" spans="1:7">
      <c r="A64" s="14">
        <v>7860</v>
      </c>
      <c r="B64" s="14" t="s">
        <v>52</v>
      </c>
      <c r="C64" s="14"/>
      <c r="D64" s="127">
        <v>4500</v>
      </c>
      <c r="E64" s="124">
        <v>4500</v>
      </c>
      <c r="F64" s="124">
        <v>4500</v>
      </c>
      <c r="G64" s="86"/>
    </row>
    <row r="65" spans="1:10">
      <c r="A65" s="14">
        <v>7870</v>
      </c>
      <c r="B65" s="14" t="s">
        <v>14</v>
      </c>
      <c r="C65" s="14"/>
      <c r="D65" s="127">
        <v>23625</v>
      </c>
      <c r="E65" s="124">
        <v>23625</v>
      </c>
      <c r="F65" s="124">
        <v>24215</v>
      </c>
      <c r="G65" s="86"/>
    </row>
    <row r="66" spans="1:10">
      <c r="A66" s="14">
        <v>7873</v>
      </c>
      <c r="B66" s="14" t="s">
        <v>71</v>
      </c>
      <c r="C66" s="14"/>
      <c r="D66" s="127">
        <v>700</v>
      </c>
      <c r="E66" s="124">
        <v>700</v>
      </c>
      <c r="F66" s="124">
        <v>700</v>
      </c>
      <c r="G66" s="86"/>
    </row>
    <row r="67" spans="1:10">
      <c r="A67" s="14">
        <v>7874</v>
      </c>
      <c r="B67" s="14" t="s">
        <v>72</v>
      </c>
      <c r="C67" s="14"/>
      <c r="D67" s="127">
        <v>200</v>
      </c>
      <c r="E67" s="124">
        <v>200</v>
      </c>
      <c r="F67" s="124">
        <v>300</v>
      </c>
      <c r="G67" s="86"/>
    </row>
    <row r="68" spans="1:10">
      <c r="A68" s="14">
        <v>7875</v>
      </c>
      <c r="B68" s="14" t="s">
        <v>26</v>
      </c>
      <c r="C68" s="14"/>
      <c r="D68" s="127">
        <v>7000</v>
      </c>
      <c r="E68" s="124">
        <v>7000</v>
      </c>
      <c r="F68" s="124">
        <v>7000</v>
      </c>
      <c r="G68" s="86"/>
    </row>
    <row r="69" spans="1:10">
      <c r="A69" s="14">
        <v>7880</v>
      </c>
      <c r="B69" s="14" t="s">
        <v>34</v>
      </c>
      <c r="C69" s="14"/>
      <c r="D69" s="127">
        <v>3300</v>
      </c>
      <c r="E69" s="124">
        <v>3300</v>
      </c>
      <c r="F69" s="124">
        <v>3400</v>
      </c>
      <c r="G69" s="86"/>
    </row>
    <row r="70" spans="1:10">
      <c r="A70" s="14">
        <v>7885</v>
      </c>
      <c r="B70" s="14" t="s">
        <v>105</v>
      </c>
      <c r="C70" s="14"/>
      <c r="D70" s="127">
        <v>300</v>
      </c>
      <c r="E70" s="124">
        <v>300</v>
      </c>
      <c r="F70" s="124">
        <v>150</v>
      </c>
      <c r="G70" s="86"/>
    </row>
    <row r="71" spans="1:10">
      <c r="A71" s="14">
        <v>7890</v>
      </c>
      <c r="B71" s="14" t="s">
        <v>121</v>
      </c>
      <c r="C71" s="14"/>
      <c r="D71" s="127">
        <v>600</v>
      </c>
      <c r="E71" s="124">
        <v>600</v>
      </c>
      <c r="F71" s="124">
        <v>600</v>
      </c>
      <c r="G71" s="86"/>
      <c r="I71" s="1" t="s">
        <v>56</v>
      </c>
    </row>
    <row r="72" spans="1:10">
      <c r="A72" s="14">
        <v>7895</v>
      </c>
      <c r="B72" s="14" t="s">
        <v>138</v>
      </c>
      <c r="C72" s="14"/>
      <c r="D72" s="127">
        <v>0</v>
      </c>
      <c r="E72" s="176">
        <v>0</v>
      </c>
      <c r="F72" s="177">
        <v>750</v>
      </c>
      <c r="G72" s="86"/>
    </row>
    <row r="73" spans="1:10" ht="15.75" thickBot="1">
      <c r="A73" s="14">
        <v>7896</v>
      </c>
      <c r="B73" s="14" t="s">
        <v>38</v>
      </c>
      <c r="C73" s="14"/>
      <c r="D73" s="128">
        <v>1500</v>
      </c>
      <c r="E73" s="41">
        <v>1500</v>
      </c>
      <c r="F73" s="80">
        <v>1500</v>
      </c>
      <c r="G73" s="86"/>
    </row>
    <row r="74" spans="1:10" ht="15.75">
      <c r="A74" s="14"/>
      <c r="B74" s="14" t="s">
        <v>23</v>
      </c>
      <c r="C74" s="14"/>
      <c r="D74" s="129">
        <f>SUM(D60:D73)</f>
        <v>89825</v>
      </c>
      <c r="E74" s="46">
        <f>SUM(E60:E73)</f>
        <v>89825</v>
      </c>
      <c r="F74" s="46">
        <f>SUM(F60:F73)</f>
        <v>91715</v>
      </c>
      <c r="G74" s="86"/>
    </row>
    <row r="75" spans="1:10" ht="16.5" thickBot="1">
      <c r="A75" s="14"/>
      <c r="B75" s="14"/>
      <c r="C75" s="14"/>
      <c r="D75" s="29"/>
      <c r="E75" s="29"/>
      <c r="F75" s="29"/>
      <c r="G75" s="3"/>
    </row>
    <row r="76" spans="1:10" ht="16.5" thickBot="1">
      <c r="A76" s="3"/>
      <c r="B76" s="15" t="s">
        <v>15</v>
      </c>
      <c r="C76" s="15"/>
      <c r="D76" s="40">
        <f>SUM(D35+D44+D57+D74+D51)</f>
        <v>278786</v>
      </c>
      <c r="E76" s="39">
        <f>SUM(E35+E44+E57+E74+E51)</f>
        <v>298564</v>
      </c>
      <c r="F76" s="130">
        <f>SUM(F35+F44+F57+F74+F51)</f>
        <v>302285</v>
      </c>
      <c r="G76" s="135" t="s">
        <v>56</v>
      </c>
      <c r="H76" s="74"/>
      <c r="I76" s="84"/>
      <c r="J76" s="85"/>
    </row>
    <row r="77" spans="1:10" ht="15.75" thickBot="1">
      <c r="A77" s="20" t="s">
        <v>5</v>
      </c>
      <c r="B77" s="15"/>
      <c r="C77" s="15"/>
      <c r="D77" s="30"/>
      <c r="E77" s="52"/>
      <c r="F77" s="53"/>
      <c r="G77" s="85" t="s">
        <v>56</v>
      </c>
      <c r="H77" s="74"/>
    </row>
    <row r="78" spans="1:10" ht="16.5" thickBot="1">
      <c r="A78" s="3"/>
      <c r="B78" s="14" t="s">
        <v>16</v>
      </c>
      <c r="C78" s="15"/>
      <c r="D78" s="88">
        <f>E78</f>
        <v>247136</v>
      </c>
      <c r="E78" s="39">
        <f>SUM('Reserve Comparison'!L39)</f>
        <v>247136</v>
      </c>
      <c r="F78" s="39">
        <f>SUM('Reserve Comparison'!M39)</f>
        <v>275279.08</v>
      </c>
      <c r="H78" s="74"/>
      <c r="I78" s="82"/>
    </row>
    <row r="79" spans="1:10" ht="16.5" thickBot="1">
      <c r="A79" s="3"/>
      <c r="B79" s="15" t="s">
        <v>17</v>
      </c>
      <c r="C79" s="15"/>
      <c r="D79" s="42">
        <f>D76+D78</f>
        <v>525922</v>
      </c>
      <c r="E79" s="43">
        <f>SUM(E76:E78)</f>
        <v>545700</v>
      </c>
      <c r="F79" s="131">
        <f>F78+F76</f>
        <v>577564.08000000007</v>
      </c>
      <c r="G79" s="85"/>
      <c r="I79" s="82"/>
    </row>
    <row r="80" spans="1:10" ht="15.75">
      <c r="A80" s="3"/>
      <c r="B80" s="15"/>
      <c r="C80" s="15"/>
      <c r="D80" s="132"/>
      <c r="E80" s="132"/>
      <c r="F80" s="132"/>
      <c r="G80" s="135"/>
      <c r="I80" s="136"/>
    </row>
    <row r="81" spans="1:9" ht="21" thickBot="1">
      <c r="A81" s="4" t="s">
        <v>106</v>
      </c>
      <c r="B81" s="47" t="s">
        <v>107</v>
      </c>
      <c r="C81" s="133"/>
      <c r="D81" s="134"/>
      <c r="E81" s="133"/>
      <c r="F81" s="4"/>
      <c r="G81" s="85"/>
      <c r="I81" s="82"/>
    </row>
    <row r="82" spans="1:9" ht="21" thickBot="1">
      <c r="A82" s="4" t="s">
        <v>6</v>
      </c>
      <c r="B82" s="4"/>
      <c r="C82" s="4"/>
      <c r="D82" s="4"/>
      <c r="E82" s="4"/>
      <c r="F82" s="4"/>
      <c r="I82" s="82"/>
    </row>
    <row r="83" spans="1:9" ht="15.75">
      <c r="A83" s="17" t="s">
        <v>37</v>
      </c>
      <c r="B83" s="6"/>
      <c r="C83" s="26"/>
      <c r="D83" s="27"/>
      <c r="E83" s="140">
        <v>2022</v>
      </c>
      <c r="F83" s="145">
        <v>2023</v>
      </c>
      <c r="G83" s="3"/>
      <c r="I83" s="82"/>
    </row>
    <row r="84" spans="1:9" ht="15.75">
      <c r="A84" s="21"/>
      <c r="B84" s="13" t="s">
        <v>21</v>
      </c>
      <c r="C84" s="23"/>
      <c r="D84" s="25"/>
      <c r="E84" s="141">
        <f>ROUNDUP(E9/D90/D91,0)-1</f>
        <v>930</v>
      </c>
      <c r="F84" s="138">
        <f>ROUND(+F9/D90/D91,0)</f>
        <v>942</v>
      </c>
      <c r="G84" s="3"/>
      <c r="H84" s="1">
        <f>F84*321</f>
        <v>302382</v>
      </c>
      <c r="I84" s="82"/>
    </row>
    <row r="85" spans="1:9" ht="16.5" thickBot="1">
      <c r="A85" s="22"/>
      <c r="B85" s="14" t="s">
        <v>5</v>
      </c>
      <c r="C85" s="23"/>
      <c r="D85" s="25"/>
      <c r="E85" s="142">
        <f>ROUNDUP(E78/D90/D91,0)</f>
        <v>770</v>
      </c>
      <c r="F85" s="142">
        <f>ROUNDUP(F78/D90/D91,0)</f>
        <v>858</v>
      </c>
      <c r="G85" s="3"/>
      <c r="H85" s="1">
        <f>F85*321</f>
        <v>275418</v>
      </c>
      <c r="I85" s="82"/>
    </row>
    <row r="86" spans="1:9" ht="16.5" thickBot="1">
      <c r="A86" s="3"/>
      <c r="B86" s="28" t="s">
        <v>22</v>
      </c>
      <c r="C86" s="3"/>
      <c r="D86" s="3"/>
      <c r="E86" s="137">
        <f>SUM(E84:E85)</f>
        <v>1700</v>
      </c>
      <c r="F86" s="139">
        <f>+F85+F84</f>
        <v>1800</v>
      </c>
      <c r="G86" s="3"/>
      <c r="H86" s="74"/>
      <c r="I86" s="82"/>
    </row>
    <row r="87" spans="1:9">
      <c r="A87" s="14"/>
      <c r="B87" s="15"/>
      <c r="C87" s="3"/>
      <c r="E87" s="78"/>
      <c r="F87" s="79"/>
      <c r="G87" s="3"/>
      <c r="H87" s="1">
        <f>SUM(H84:H86)</f>
        <v>577800</v>
      </c>
    </row>
    <row r="88" spans="1:9">
      <c r="A88" s="14"/>
      <c r="B88" s="28" t="s">
        <v>22</v>
      </c>
      <c r="C88" s="3"/>
      <c r="E88" s="78"/>
      <c r="F88" s="79"/>
      <c r="G88" s="3"/>
    </row>
    <row r="89" spans="1:9">
      <c r="A89" s="14"/>
      <c r="B89" s="15"/>
      <c r="C89" s="3"/>
      <c r="D89" s="3"/>
      <c r="E89" s="3"/>
      <c r="F89" s="3"/>
      <c r="G89" s="3"/>
    </row>
    <row r="90" spans="1:9" ht="15.75">
      <c r="A90" s="14"/>
      <c r="B90" s="93" t="s">
        <v>120</v>
      </c>
      <c r="C90" s="1" t="s">
        <v>56</v>
      </c>
      <c r="D90" s="35">
        <v>321</v>
      </c>
      <c r="F90" s="3"/>
      <c r="G90" s="3"/>
    </row>
    <row r="91" spans="1:9" ht="15.75">
      <c r="A91" s="14"/>
      <c r="B91" s="93" t="s">
        <v>119</v>
      </c>
      <c r="C91" s="3"/>
      <c r="D91" s="35">
        <v>1</v>
      </c>
      <c r="E91" s="14" t="s">
        <v>35</v>
      </c>
      <c r="F91" s="3"/>
      <c r="G91" s="3"/>
    </row>
    <row r="92" spans="1:9">
      <c r="A92" s="3"/>
      <c r="B92" s="3"/>
      <c r="C92" s="3"/>
      <c r="D92" s="3"/>
      <c r="E92" s="3"/>
      <c r="F92" s="3"/>
      <c r="G92" s="3"/>
    </row>
    <row r="93" spans="1:9">
      <c r="A93" s="3"/>
      <c r="C93" s="3"/>
      <c r="D93" s="3"/>
      <c r="E93" s="3"/>
      <c r="F93" s="3"/>
      <c r="G93" s="3"/>
    </row>
    <row r="94" spans="1:9">
      <c r="A94" s="3"/>
      <c r="C94" s="3"/>
      <c r="D94" s="3"/>
      <c r="E94" s="3"/>
      <c r="F94" s="3"/>
      <c r="G94" s="3"/>
    </row>
    <row r="95" spans="1:9">
      <c r="A95" s="3"/>
      <c r="B95" s="3"/>
      <c r="C95" s="3"/>
      <c r="D95" s="3"/>
      <c r="E95" s="3"/>
      <c r="F95" s="3"/>
      <c r="G95" s="3"/>
    </row>
    <row r="96" spans="1:9">
      <c r="A96" s="3"/>
      <c r="B96" s="3"/>
      <c r="C96" s="3"/>
      <c r="D96" s="3"/>
      <c r="E96" s="24"/>
      <c r="F96" s="3"/>
      <c r="G96" s="3"/>
    </row>
    <row r="97" spans="1:7">
      <c r="A97" s="3"/>
      <c r="B97" s="3"/>
      <c r="C97" s="3"/>
      <c r="D97" s="3"/>
      <c r="E97" s="3"/>
      <c r="F97" s="3"/>
      <c r="G97" s="3"/>
    </row>
    <row r="98" spans="1:7">
      <c r="A98" s="3"/>
      <c r="B98" s="3"/>
      <c r="C98" s="3"/>
      <c r="D98" s="3"/>
      <c r="E98" s="3"/>
      <c r="F98" s="3"/>
      <c r="G98" s="3"/>
    </row>
    <row r="99" spans="1:7">
      <c r="A99" s="3"/>
      <c r="B99" s="3"/>
      <c r="C99" s="3"/>
      <c r="D99" s="3"/>
      <c r="E99" s="3"/>
      <c r="F99" s="3"/>
      <c r="G99" s="3"/>
    </row>
    <row r="100" spans="1:7">
      <c r="A100" s="3"/>
      <c r="B100" s="3"/>
      <c r="C100" s="3"/>
      <c r="D100" s="3"/>
      <c r="E100" s="3"/>
      <c r="F100" s="3"/>
      <c r="G100" s="3"/>
    </row>
    <row r="101" spans="1:7">
      <c r="A101" s="3"/>
      <c r="B101" s="3"/>
      <c r="C101" s="3"/>
      <c r="D101" s="3"/>
      <c r="E101" s="3"/>
      <c r="F101" s="3"/>
      <c r="G101" s="3"/>
    </row>
    <row r="102" spans="1:7">
      <c r="A102" s="3"/>
      <c r="B102" s="3"/>
      <c r="C102" s="3"/>
      <c r="D102" s="3"/>
      <c r="E102" s="3"/>
      <c r="F102" s="3"/>
      <c r="G102" s="3"/>
    </row>
    <row r="103" spans="1:7">
      <c r="A103" s="3"/>
      <c r="B103" s="3"/>
      <c r="C103" s="3"/>
      <c r="D103" s="3"/>
      <c r="E103" s="3"/>
      <c r="F103" s="3"/>
      <c r="G103" s="3"/>
    </row>
    <row r="104" spans="1:7">
      <c r="A104" s="3"/>
      <c r="B104" s="3"/>
      <c r="C104" s="3"/>
      <c r="D104" s="3"/>
      <c r="E104" s="3"/>
      <c r="F104" s="3"/>
      <c r="G104" s="3"/>
    </row>
    <row r="105" spans="1:7">
      <c r="A105" s="3"/>
      <c r="B105" s="3"/>
      <c r="C105" s="3"/>
      <c r="D105" s="3"/>
      <c r="E105" s="3"/>
      <c r="F105" s="3"/>
      <c r="G105" s="3"/>
    </row>
    <row r="106" spans="1:7">
      <c r="A106" s="3"/>
      <c r="B106" s="3"/>
      <c r="C106" s="3"/>
      <c r="D106" s="3"/>
      <c r="E106" s="3"/>
      <c r="F106" s="3"/>
      <c r="G106" s="3"/>
    </row>
    <row r="107" spans="1:7">
      <c r="A107" s="3"/>
      <c r="B107" s="3"/>
      <c r="C107" s="3"/>
      <c r="D107" s="3"/>
      <c r="E107" s="3"/>
      <c r="F107" s="3"/>
      <c r="G107" s="3"/>
    </row>
    <row r="108" spans="1:7">
      <c r="A108" s="3"/>
      <c r="B108" s="3"/>
      <c r="C108" s="3"/>
      <c r="D108" s="3"/>
      <c r="E108" s="3"/>
      <c r="F108" s="3"/>
      <c r="G108" s="3"/>
    </row>
    <row r="109" spans="1:7">
      <c r="A109" s="3"/>
      <c r="B109" s="3"/>
      <c r="C109" s="3"/>
      <c r="D109" s="3"/>
      <c r="E109" s="3"/>
      <c r="F109" s="3"/>
      <c r="G109" s="3"/>
    </row>
    <row r="110" spans="1:7">
      <c r="A110" s="3"/>
      <c r="B110" s="3"/>
      <c r="C110" s="3"/>
      <c r="D110" s="3"/>
      <c r="E110" s="3"/>
      <c r="F110" s="3"/>
      <c r="G110" s="3"/>
    </row>
    <row r="111" spans="1:7">
      <c r="A111" s="3"/>
      <c r="B111" s="3"/>
      <c r="C111" s="3"/>
      <c r="D111" s="3"/>
      <c r="E111" s="3"/>
      <c r="F111" s="3"/>
      <c r="G111" s="3"/>
    </row>
    <row r="112" spans="1:7">
      <c r="A112" s="3"/>
      <c r="B112" s="3"/>
      <c r="C112" s="3"/>
      <c r="D112" s="3"/>
      <c r="E112" s="3"/>
      <c r="F112" s="3"/>
      <c r="G112" s="3"/>
    </row>
    <row r="113" spans="1:7">
      <c r="A113" s="3"/>
      <c r="B113" s="3"/>
      <c r="C113" s="3"/>
      <c r="D113" s="3"/>
      <c r="E113" s="3"/>
      <c r="F113" s="3"/>
      <c r="G113" s="3"/>
    </row>
    <row r="114" spans="1:7">
      <c r="A114" s="3"/>
      <c r="B114" s="3"/>
      <c r="C114" s="3"/>
      <c r="D114" s="3"/>
      <c r="E114" s="3"/>
      <c r="F114" s="3"/>
      <c r="G114" s="3"/>
    </row>
    <row r="115" spans="1:7">
      <c r="A115" s="3"/>
      <c r="B115" s="3"/>
      <c r="C115" s="3"/>
      <c r="D115" s="3"/>
      <c r="E115" s="3"/>
      <c r="F115" s="3"/>
      <c r="G115" s="3"/>
    </row>
    <row r="116" spans="1:7">
      <c r="A116" s="3"/>
      <c r="B116" s="3"/>
      <c r="C116" s="3"/>
      <c r="D116" s="3"/>
      <c r="E116" s="3"/>
      <c r="F116" s="3"/>
      <c r="G116" s="3"/>
    </row>
    <row r="117" spans="1:7">
      <c r="B117" s="3"/>
    </row>
  </sheetData>
  <sheetProtection selectLockedCells="1"/>
  <phoneticPr fontId="0" type="noConversion"/>
  <printOptions horizontalCentered="1"/>
  <pageMargins left="0.25" right="0.25" top="0.75" bottom="0.75" header="0.3" footer="0.3"/>
  <pageSetup fitToHeight="3" orientation="landscape" horizontalDpi="4294967293" vertic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V71"/>
  <sheetViews>
    <sheetView topLeftCell="A30" zoomScaleNormal="100" workbookViewId="0">
      <selection activeCell="M43" sqref="M43"/>
    </sheetView>
  </sheetViews>
  <sheetFormatPr defaultColWidth="7.44140625" defaultRowHeight="15"/>
  <cols>
    <col min="1" max="1" width="36.21875" style="54" customWidth="1"/>
    <col min="2" max="2" width="12.44140625" style="54" customWidth="1"/>
    <col min="3" max="3" width="11.109375" style="54" customWidth="1"/>
    <col min="4" max="4" width="10.109375" style="54" customWidth="1"/>
    <col min="5" max="5" width="11.33203125" style="54" customWidth="1"/>
    <col min="6" max="6" width="12.33203125" style="56" hidden="1" customWidth="1"/>
    <col min="7" max="7" width="14.21875" style="56" hidden="1" customWidth="1"/>
    <col min="8" max="8" width="10.77734375" style="56" hidden="1" customWidth="1"/>
    <col min="9" max="10" width="12.6640625" style="56" hidden="1" customWidth="1"/>
    <col min="11" max="11" width="13.44140625" style="56" customWidth="1"/>
    <col min="12" max="14" width="12.6640625" style="56" customWidth="1"/>
    <col min="15" max="34" width="12.6640625" style="54" customWidth="1"/>
    <col min="35" max="39" width="12.6640625" style="55" customWidth="1"/>
    <col min="40" max="46" width="12.44140625" style="55" bestFit="1" customWidth="1"/>
    <col min="47" max="47" width="11" style="55" bestFit="1" customWidth="1"/>
    <col min="48" max="16384" width="7.44140625" style="55"/>
  </cols>
  <sheetData>
    <row r="1" spans="1:48" ht="26.25" customHeight="1">
      <c r="A1" s="178" t="s">
        <v>139</v>
      </c>
      <c r="B1" s="187"/>
      <c r="C1" s="187"/>
      <c r="D1" s="187"/>
      <c r="E1" s="187" t="s">
        <v>74</v>
      </c>
      <c r="F1" s="188"/>
      <c r="G1" s="189"/>
      <c r="H1" s="187"/>
      <c r="I1" s="189"/>
      <c r="J1" s="190"/>
      <c r="K1" s="190">
        <v>0.03</v>
      </c>
      <c r="L1" s="189"/>
      <c r="M1" s="189"/>
      <c r="N1" s="189"/>
      <c r="O1" s="187"/>
      <c r="P1" s="187"/>
      <c r="Q1" s="187"/>
      <c r="R1" s="187"/>
      <c r="S1" s="187"/>
    </row>
    <row r="2" spans="1:48" s="58" customFormat="1" ht="54.95" customHeight="1">
      <c r="A2" s="180" t="s">
        <v>75</v>
      </c>
      <c r="B2" s="181" t="s">
        <v>76</v>
      </c>
      <c r="C2" s="181" t="s">
        <v>77</v>
      </c>
      <c r="D2" s="181" t="s">
        <v>78</v>
      </c>
      <c r="E2" s="181" t="s">
        <v>79</v>
      </c>
      <c r="F2" s="91">
        <v>2018</v>
      </c>
      <c r="G2" s="91">
        <v>2019</v>
      </c>
      <c r="H2" s="91"/>
      <c r="I2" s="91">
        <v>2020</v>
      </c>
      <c r="J2" s="91" t="s">
        <v>130</v>
      </c>
      <c r="K2" s="91">
        <v>2021</v>
      </c>
      <c r="L2" s="91">
        <v>2022</v>
      </c>
      <c r="M2" s="91">
        <v>2023</v>
      </c>
      <c r="N2" s="91">
        <v>2024</v>
      </c>
      <c r="O2" s="91">
        <v>2025</v>
      </c>
      <c r="P2" s="91">
        <v>2026</v>
      </c>
      <c r="Q2" s="92">
        <v>2027</v>
      </c>
      <c r="R2" s="92">
        <v>2028</v>
      </c>
      <c r="S2" s="92">
        <v>2029</v>
      </c>
      <c r="T2" s="57">
        <v>2030</v>
      </c>
      <c r="U2" s="57">
        <v>2031</v>
      </c>
      <c r="V2" s="57">
        <v>2032</v>
      </c>
      <c r="W2" s="57">
        <v>2033</v>
      </c>
      <c r="X2" s="57">
        <v>2034</v>
      </c>
      <c r="Y2" s="57">
        <v>2035</v>
      </c>
      <c r="Z2" s="57">
        <v>2036</v>
      </c>
      <c r="AA2" s="57">
        <v>2037</v>
      </c>
      <c r="AB2" s="57">
        <v>2038</v>
      </c>
      <c r="AC2" s="57">
        <v>2039</v>
      </c>
      <c r="AD2" s="57">
        <v>2040</v>
      </c>
      <c r="AE2" s="57">
        <v>2041</v>
      </c>
      <c r="AF2" s="57">
        <v>2042</v>
      </c>
      <c r="AG2" s="57">
        <v>2043</v>
      </c>
      <c r="AH2" s="57">
        <v>2044</v>
      </c>
      <c r="AI2" s="57">
        <v>2045</v>
      </c>
      <c r="AJ2" s="57">
        <v>2046</v>
      </c>
      <c r="AK2" s="57">
        <v>2047</v>
      </c>
      <c r="AL2" s="57">
        <v>2048</v>
      </c>
      <c r="AM2" s="57">
        <v>2049</v>
      </c>
      <c r="AN2" s="57">
        <v>2050</v>
      </c>
      <c r="AO2" s="57">
        <v>2051</v>
      </c>
      <c r="AP2" s="57">
        <v>2052</v>
      </c>
      <c r="AQ2" s="57">
        <v>2053</v>
      </c>
      <c r="AR2" s="57">
        <v>2054</v>
      </c>
      <c r="AS2" s="57">
        <v>2055</v>
      </c>
      <c r="AT2" s="57">
        <v>2056</v>
      </c>
      <c r="AU2" s="57">
        <v>2057</v>
      </c>
      <c r="AV2" s="57">
        <v>2058</v>
      </c>
    </row>
    <row r="3" spans="1:48" s="59" customFormat="1" ht="21.95" customHeight="1">
      <c r="A3" s="191" t="s">
        <v>80</v>
      </c>
      <c r="B3" s="192">
        <v>2016</v>
      </c>
      <c r="C3" s="192">
        <v>8</v>
      </c>
      <c r="D3" s="192">
        <v>3</v>
      </c>
      <c r="E3" s="193">
        <v>42230</v>
      </c>
      <c r="F3" s="194"/>
      <c r="G3" s="194"/>
      <c r="H3" s="194"/>
      <c r="I3" s="194"/>
      <c r="J3" s="194"/>
      <c r="K3" s="194"/>
      <c r="L3" s="194"/>
      <c r="M3" s="194"/>
      <c r="N3" s="194">
        <f>$E3*(1+$K$1)^$D3</f>
        <v>46145.861210000003</v>
      </c>
      <c r="O3" s="194"/>
      <c r="P3" s="194"/>
      <c r="Q3" s="194"/>
      <c r="R3" s="194"/>
      <c r="S3" s="194"/>
      <c r="T3" s="163"/>
      <c r="U3" s="163"/>
      <c r="V3" s="163">
        <f>$E3*(1+$K$1)^($D3+C3)</f>
        <v>58456.196360693335</v>
      </c>
      <c r="W3" s="163"/>
      <c r="X3" s="163"/>
      <c r="Y3" s="163"/>
      <c r="Z3" s="163"/>
      <c r="AA3" s="163"/>
      <c r="AB3" s="163"/>
      <c r="AC3" s="163"/>
      <c r="AD3" s="163">
        <f>$E3*(1+$K$1)^($D3+2*C3)</f>
        <v>74050.56062144594</v>
      </c>
      <c r="AE3" s="163"/>
      <c r="AF3" s="163"/>
      <c r="AG3" s="163"/>
      <c r="AH3" s="163"/>
      <c r="AI3" s="164"/>
      <c r="AJ3" s="165"/>
      <c r="AK3" s="165"/>
      <c r="AL3" s="163">
        <f>$E3*(1+$K$1)^($D3+3*C3)</f>
        <v>93805.034705227663</v>
      </c>
      <c r="AM3" s="162"/>
      <c r="AN3" s="162"/>
      <c r="AO3" s="162"/>
      <c r="AP3" s="162"/>
      <c r="AQ3" s="162"/>
      <c r="AR3" s="162"/>
      <c r="AS3" s="162"/>
      <c r="AT3" s="162"/>
      <c r="AU3" s="162"/>
      <c r="AV3" s="162"/>
    </row>
    <row r="4" spans="1:48" s="59" customFormat="1" ht="21.95" customHeight="1">
      <c r="A4" s="191" t="s">
        <v>60</v>
      </c>
      <c r="B4" s="192">
        <v>2015</v>
      </c>
      <c r="C4" s="192">
        <v>30</v>
      </c>
      <c r="D4" s="192">
        <v>24</v>
      </c>
      <c r="E4" s="193">
        <v>31930</v>
      </c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>
        <f>$E4*(1+$K$1)^($D4)</f>
        <v>64907.115819280632</v>
      </c>
      <c r="AJ4" s="165"/>
      <c r="AK4" s="165"/>
      <c r="AL4" s="165"/>
      <c r="AM4" s="162"/>
      <c r="AN4" s="162"/>
      <c r="AO4" s="162"/>
      <c r="AP4" s="162"/>
      <c r="AQ4" s="162"/>
      <c r="AR4" s="162"/>
      <c r="AS4" s="162"/>
      <c r="AT4" s="162"/>
      <c r="AU4" s="162"/>
      <c r="AV4" s="162"/>
    </row>
    <row r="5" spans="1:48" s="59" customFormat="1" ht="21.95" customHeight="1">
      <c r="A5" s="191" t="s">
        <v>81</v>
      </c>
      <c r="B5" s="192">
        <v>1996</v>
      </c>
      <c r="C5" s="192">
        <v>10</v>
      </c>
      <c r="D5" s="192">
        <v>0</v>
      </c>
      <c r="E5" s="193">
        <v>35000</v>
      </c>
      <c r="F5" s="194"/>
      <c r="G5" s="194">
        <v>35000</v>
      </c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>
        <f>$E5*(1+$K$1)^($D5+C5)</f>
        <v>47037.073277044263</v>
      </c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5"/>
      <c r="AK5" s="165"/>
      <c r="AL5" s="165"/>
      <c r="AM5" s="162"/>
      <c r="AN5" s="162"/>
      <c r="AO5" s="162"/>
      <c r="AP5" s="162"/>
      <c r="AQ5" s="162"/>
      <c r="AR5" s="162"/>
      <c r="AS5" s="162"/>
      <c r="AT5" s="162"/>
      <c r="AU5" s="162"/>
      <c r="AV5" s="162"/>
    </row>
    <row r="6" spans="1:48" s="59" customFormat="1" ht="21.95" customHeight="1">
      <c r="A6" s="191" t="s">
        <v>113</v>
      </c>
      <c r="B6" s="192">
        <v>2007</v>
      </c>
      <c r="C6" s="192">
        <v>20</v>
      </c>
      <c r="D6" s="192">
        <v>7</v>
      </c>
      <c r="E6" s="193">
        <v>13905</v>
      </c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>
        <f>$E6*(1+$K$1)^$D6</f>
        <v>17101.396098732817</v>
      </c>
      <c r="R6" s="194"/>
      <c r="S6" s="194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4"/>
      <c r="AJ6" s="165"/>
      <c r="AK6" s="163">
        <f>$E6*(1+$K$1)^($D6+2*$C6)</f>
        <v>55785.40037001195</v>
      </c>
      <c r="AL6" s="165"/>
      <c r="AM6" s="162"/>
      <c r="AN6" s="162"/>
      <c r="AO6" s="162"/>
      <c r="AP6" s="162"/>
      <c r="AQ6" s="162"/>
      <c r="AR6" s="162"/>
      <c r="AS6" s="162"/>
      <c r="AT6" s="162"/>
      <c r="AU6" s="162"/>
      <c r="AV6" s="162"/>
    </row>
    <row r="7" spans="1:48" s="59" customFormat="1" ht="21.95" customHeight="1">
      <c r="A7" s="191" t="s">
        <v>82</v>
      </c>
      <c r="B7" s="192">
        <v>2017</v>
      </c>
      <c r="C7" s="192">
        <v>9</v>
      </c>
      <c r="D7" s="192">
        <v>5</v>
      </c>
      <c r="E7" s="193">
        <v>20600</v>
      </c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>
        <f>$E7*(1+$K$1)^$D7</f>
        <v>23881.045930579996</v>
      </c>
      <c r="Q7" s="194"/>
      <c r="R7" s="194"/>
      <c r="S7" s="194"/>
      <c r="T7" s="163"/>
      <c r="U7" s="163"/>
      <c r="V7" s="163"/>
      <c r="W7" s="163"/>
      <c r="X7" s="163"/>
      <c r="Y7" s="163">
        <f>$E7*(1+$K$1)^($D7+C7)</f>
        <v>31159.348332015288</v>
      </c>
      <c r="Z7" s="163"/>
      <c r="AA7" s="163"/>
      <c r="AB7" s="163"/>
      <c r="AC7" s="163"/>
      <c r="AD7" s="163"/>
      <c r="AE7" s="163"/>
      <c r="AF7" s="163"/>
      <c r="AG7" s="163"/>
      <c r="AH7" s="163">
        <f>$E7*(1+$K$1)^($D7+2*C7)</f>
        <v>40655.882129208039</v>
      </c>
      <c r="AI7" s="164"/>
      <c r="AJ7" s="165"/>
      <c r="AK7" s="165"/>
      <c r="AL7" s="165"/>
      <c r="AM7" s="162"/>
      <c r="AN7" s="162"/>
      <c r="AO7" s="162"/>
      <c r="AP7" s="162"/>
      <c r="AQ7" s="162"/>
      <c r="AR7" s="162"/>
      <c r="AS7" s="162"/>
      <c r="AT7" s="162"/>
      <c r="AU7" s="162"/>
      <c r="AV7" s="162"/>
    </row>
    <row r="8" spans="1:48" s="59" customFormat="1" ht="21.95" customHeight="1">
      <c r="A8" s="191" t="s">
        <v>112</v>
      </c>
      <c r="B8" s="192">
        <v>2014</v>
      </c>
      <c r="C8" s="192">
        <v>8</v>
      </c>
      <c r="D8" s="192">
        <v>1</v>
      </c>
      <c r="E8" s="193">
        <v>42848</v>
      </c>
      <c r="F8" s="194"/>
      <c r="G8" s="194" t="s">
        <v>56</v>
      </c>
      <c r="H8" s="194"/>
      <c r="I8" s="194"/>
      <c r="J8" s="194"/>
      <c r="K8" s="194"/>
      <c r="L8" s="194">
        <f>$E8*(1+$K$1)^$D8</f>
        <v>44133.440000000002</v>
      </c>
      <c r="M8" s="194"/>
      <c r="N8" s="194"/>
      <c r="O8" s="194"/>
      <c r="P8" s="194"/>
      <c r="Q8" s="194"/>
      <c r="R8" s="194"/>
      <c r="S8" s="194"/>
      <c r="T8" s="163">
        <f>$E8*(1+$K$1)^($D8+C8)</f>
        <v>55906.921380715467</v>
      </c>
      <c r="U8" s="163"/>
      <c r="V8" s="163"/>
      <c r="W8" s="163"/>
      <c r="X8" s="163"/>
      <c r="Y8" s="163"/>
      <c r="Z8" s="163"/>
      <c r="AA8" s="163"/>
      <c r="AB8" s="163">
        <f>$E8*(1+$K$1)^($D8+2*C8)</f>
        <v>70821.215347579971</v>
      </c>
      <c r="AC8" s="163"/>
      <c r="AD8" s="163"/>
      <c r="AE8" s="163"/>
      <c r="AF8" s="163"/>
      <c r="AG8" s="163"/>
      <c r="AH8" s="163"/>
      <c r="AI8" s="164"/>
      <c r="AJ8" s="163">
        <f>$E8*(1+$K$1)^($D8+3*C8)</f>
        <v>89714.196729823758</v>
      </c>
      <c r="AK8" s="165"/>
      <c r="AL8" s="165"/>
      <c r="AM8" s="162"/>
      <c r="AN8" s="162"/>
      <c r="AO8" s="162"/>
      <c r="AP8" s="162"/>
      <c r="AQ8" s="162"/>
      <c r="AR8" s="162"/>
      <c r="AS8" s="162"/>
      <c r="AT8" s="162"/>
      <c r="AU8" s="162"/>
      <c r="AV8" s="162"/>
    </row>
    <row r="9" spans="1:48" s="59" customFormat="1" ht="21.95" customHeight="1">
      <c r="A9" s="191" t="s">
        <v>61</v>
      </c>
      <c r="B9" s="192">
        <v>2015</v>
      </c>
      <c r="C9" s="192">
        <v>8</v>
      </c>
      <c r="D9" s="192">
        <v>2</v>
      </c>
      <c r="E9" s="193">
        <v>10300</v>
      </c>
      <c r="F9" s="194"/>
      <c r="G9" s="194"/>
      <c r="H9" s="194"/>
      <c r="I9" s="194"/>
      <c r="J9" s="194"/>
      <c r="K9" s="180"/>
      <c r="L9" s="194">
        <v>14800</v>
      </c>
      <c r="M9" s="194">
        <f>$E9*(1+$K$1)^$D9</f>
        <v>10927.27</v>
      </c>
      <c r="N9" s="194"/>
      <c r="O9" s="194"/>
      <c r="P9" s="194"/>
      <c r="Q9" s="194"/>
      <c r="R9" s="194"/>
      <c r="S9" s="194"/>
      <c r="T9" s="163"/>
      <c r="U9" s="163">
        <f>$E9*(1+$K$1)^($D9+$C9)</f>
        <v>13842.338707244455</v>
      </c>
      <c r="V9" s="163"/>
      <c r="W9" s="163"/>
      <c r="X9" s="163"/>
      <c r="Y9" s="163"/>
      <c r="Z9" s="163"/>
      <c r="AA9" s="163"/>
      <c r="AB9" s="163"/>
      <c r="AC9" s="163">
        <f>$E9*(1+$K$1)^($D9+2*$C9)</f>
        <v>17535.060530771003</v>
      </c>
      <c r="AD9" s="163"/>
      <c r="AE9" s="163"/>
      <c r="AF9" s="163"/>
      <c r="AG9" s="163"/>
      <c r="AH9" s="163"/>
      <c r="AI9" s="164"/>
      <c r="AJ9" s="165"/>
      <c r="AK9" s="163">
        <f>$E9*(1+$K$1)^($D9+3*$C9)</f>
        <v>22212.890055701559</v>
      </c>
      <c r="AL9" s="165"/>
      <c r="AM9" s="162"/>
      <c r="AN9" s="162"/>
      <c r="AO9" s="162"/>
      <c r="AP9" s="162"/>
      <c r="AQ9" s="162"/>
      <c r="AR9" s="162"/>
      <c r="AS9" s="162"/>
      <c r="AT9" s="162"/>
      <c r="AU9" s="162"/>
      <c r="AV9" s="162"/>
    </row>
    <row r="10" spans="1:48" s="59" customFormat="1" ht="21.95" customHeight="1">
      <c r="A10" s="191" t="s">
        <v>62</v>
      </c>
      <c r="B10" s="192">
        <v>1996</v>
      </c>
      <c r="C10" s="192">
        <v>30</v>
      </c>
      <c r="D10" s="192">
        <v>6</v>
      </c>
      <c r="E10" s="193">
        <v>17510</v>
      </c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>
        <f>$E10*(1+$K$1)^$D10</f>
        <v>20907.855712222787</v>
      </c>
      <c r="Q10" s="192"/>
      <c r="R10" s="194"/>
      <c r="S10" s="194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4"/>
      <c r="AJ10" s="165"/>
      <c r="AK10" s="165"/>
      <c r="AL10" s="165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</row>
    <row r="11" spans="1:48" s="59" customFormat="1" ht="21.95" customHeight="1">
      <c r="A11" s="191" t="s">
        <v>83</v>
      </c>
      <c r="B11" s="192">
        <v>2012</v>
      </c>
      <c r="C11" s="192">
        <v>15</v>
      </c>
      <c r="D11" s="192">
        <v>6</v>
      </c>
      <c r="E11" s="193">
        <v>10300</v>
      </c>
      <c r="F11" s="194">
        <v>9800</v>
      </c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>
        <f>$E11*(1+$K$1)^$D11</f>
        <v>12298.738654248698</v>
      </c>
      <c r="R11" s="194"/>
      <c r="S11" s="194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>
        <f>$E11*(1+$K$1)^($D11+C11)</f>
        <v>19161.034088607801</v>
      </c>
      <c r="AG11" s="163"/>
      <c r="AH11" s="163"/>
      <c r="AI11" s="164"/>
      <c r="AJ11" s="165"/>
      <c r="AK11" s="165"/>
      <c r="AL11" s="165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</row>
    <row r="12" spans="1:48" s="59" customFormat="1" ht="21.95" customHeight="1">
      <c r="A12" s="191" t="s">
        <v>63</v>
      </c>
      <c r="B12" s="192">
        <v>2012</v>
      </c>
      <c r="C12" s="192">
        <v>6</v>
      </c>
      <c r="D12" s="192">
        <v>0</v>
      </c>
      <c r="E12" s="193">
        <v>3090</v>
      </c>
      <c r="F12" s="194"/>
      <c r="G12" s="194">
        <f>$E12*(1+$K$1)^($D12)</f>
        <v>3090</v>
      </c>
      <c r="H12" s="194"/>
      <c r="I12" s="194"/>
      <c r="J12" s="194"/>
      <c r="K12" s="194"/>
      <c r="L12" s="194"/>
      <c r="M12" s="194"/>
      <c r="N12" s="194"/>
      <c r="O12" s="194">
        <f>$E12*(1+$K$1)^($D12+$C12)</f>
        <v>3689.6215962746096</v>
      </c>
      <c r="P12" s="194"/>
      <c r="Q12" s="194"/>
      <c r="R12" s="194"/>
      <c r="S12" s="194"/>
      <c r="T12" s="163"/>
      <c r="U12" s="163">
        <f>$E12*(1+$K$1)^($D12+2*$C12)</f>
        <v>4405.6011403546918</v>
      </c>
      <c r="V12" s="163"/>
      <c r="W12" s="163"/>
      <c r="X12" s="163"/>
      <c r="Y12" s="163"/>
      <c r="Z12" s="163"/>
      <c r="AA12" s="163">
        <f>$E12*(1+$K$1)^($D12+3*$C12)</f>
        <v>5260.5181592313011</v>
      </c>
      <c r="AB12" s="163"/>
      <c r="AC12" s="163"/>
      <c r="AD12" s="163"/>
      <c r="AE12" s="163"/>
      <c r="AF12" s="163"/>
      <c r="AG12" s="163">
        <f>$E12*(1+$K$1)^($D12+4*$C12)</f>
        <v>6281.3337889626418</v>
      </c>
      <c r="AH12" s="163"/>
      <c r="AI12" s="164"/>
      <c r="AJ12" s="165"/>
      <c r="AK12" s="165"/>
      <c r="AL12" s="163">
        <f>$E12*(1+$K$1)^($D12+5*$C12)</f>
        <v>7500.241035976047</v>
      </c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</row>
    <row r="13" spans="1:48" s="59" customFormat="1" ht="21.6" customHeight="1">
      <c r="A13" s="191" t="s">
        <v>64</v>
      </c>
      <c r="B13" s="192">
        <v>2018</v>
      </c>
      <c r="C13" s="192">
        <v>8</v>
      </c>
      <c r="D13" s="192">
        <v>5</v>
      </c>
      <c r="E13" s="193">
        <v>6180</v>
      </c>
      <c r="F13" s="194">
        <v>3100</v>
      </c>
      <c r="G13" s="194"/>
      <c r="H13" s="194"/>
      <c r="I13" s="194"/>
      <c r="J13" s="194"/>
      <c r="K13" s="194"/>
      <c r="L13" s="194"/>
      <c r="M13" s="194"/>
      <c r="N13" s="194"/>
      <c r="O13" s="194"/>
      <c r="P13" s="194">
        <f>$E13*(1+$K$1)^$D13</f>
        <v>7164.3137791739991</v>
      </c>
      <c r="Q13" s="194"/>
      <c r="R13" s="194"/>
      <c r="S13" s="194"/>
      <c r="T13" s="163"/>
      <c r="U13" s="163"/>
      <c r="V13" s="163"/>
      <c r="W13" s="163"/>
      <c r="X13" s="163">
        <f>$E13*(1+$K$1)^($D13+$C13)</f>
        <v>9075.5383491306657</v>
      </c>
      <c r="Y13" s="163"/>
      <c r="Z13" s="163"/>
      <c r="AA13" s="163"/>
      <c r="AB13" s="163"/>
      <c r="AC13" s="163"/>
      <c r="AD13" s="163"/>
      <c r="AE13" s="163"/>
      <c r="AF13" s="163">
        <f>$E13*(1+$K$1)^($D13+2*$C13)</f>
        <v>11496.620453164682</v>
      </c>
      <c r="AG13" s="163"/>
      <c r="AH13" s="163"/>
      <c r="AI13" s="164"/>
      <c r="AJ13" s="165"/>
      <c r="AK13" s="165"/>
      <c r="AL13" s="165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</row>
    <row r="14" spans="1:48" s="59" customFormat="1" ht="21.95" customHeight="1">
      <c r="A14" s="191" t="s">
        <v>84</v>
      </c>
      <c r="B14" s="192">
        <v>2012</v>
      </c>
      <c r="C14" s="192">
        <v>8</v>
      </c>
      <c r="D14" s="192">
        <v>1</v>
      </c>
      <c r="E14" s="193">
        <v>5150</v>
      </c>
      <c r="F14" s="194"/>
      <c r="G14" s="194"/>
      <c r="H14" s="194"/>
      <c r="I14" s="194">
        <v>0</v>
      </c>
      <c r="J14" s="194"/>
      <c r="K14" s="180"/>
      <c r="L14" s="194">
        <v>4975</v>
      </c>
      <c r="M14" s="194"/>
      <c r="N14" s="194"/>
      <c r="O14" s="194"/>
      <c r="P14" s="194"/>
      <c r="Q14" s="194"/>
      <c r="R14" s="194">
        <f>$E14*(1+$K$1)^($D14+$C14)</f>
        <v>6719.5818967206087</v>
      </c>
      <c r="S14" s="194"/>
      <c r="T14" s="166"/>
      <c r="U14" s="166"/>
      <c r="V14" s="166"/>
      <c r="W14" s="166"/>
      <c r="X14" s="166"/>
      <c r="Y14" s="166"/>
      <c r="Z14" s="166">
        <f>$E14*(1+$K$1)^($D14+2*$C14)</f>
        <v>8512.1653061995166</v>
      </c>
      <c r="AA14" s="166"/>
      <c r="AB14" s="166"/>
      <c r="AC14" s="166"/>
      <c r="AD14" s="166"/>
      <c r="AE14" s="166"/>
      <c r="AF14" s="166"/>
      <c r="AG14" s="166"/>
      <c r="AH14" s="166">
        <f>$E14*(1+$K$1)^($D14+3*$C14)</f>
        <v>10782.956337719201</v>
      </c>
      <c r="AI14" s="167"/>
      <c r="AJ14" s="165"/>
      <c r="AK14" s="165"/>
      <c r="AL14" s="165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</row>
    <row r="15" spans="1:48" s="59" customFormat="1" ht="21.95" customHeight="1">
      <c r="A15" s="191" t="s">
        <v>65</v>
      </c>
      <c r="B15" s="192">
        <v>2016</v>
      </c>
      <c r="C15" s="192">
        <v>8</v>
      </c>
      <c r="D15" s="192">
        <v>3</v>
      </c>
      <c r="E15" s="193">
        <v>10300</v>
      </c>
      <c r="F15" s="194"/>
      <c r="G15" s="194"/>
      <c r="H15" s="194"/>
      <c r="I15" s="194"/>
      <c r="J15" s="194"/>
      <c r="K15" s="194"/>
      <c r="L15" s="194"/>
      <c r="M15" s="194"/>
      <c r="N15" s="194">
        <f>$E15*(1+$K$1)^($D15)</f>
        <v>11255.088100000001</v>
      </c>
      <c r="O15" s="194"/>
      <c r="P15" s="194"/>
      <c r="Q15" s="194"/>
      <c r="R15" s="194"/>
      <c r="S15" s="194"/>
      <c r="T15" s="163"/>
      <c r="U15" s="166"/>
      <c r="V15" s="166">
        <f>$E15*(1+$K$1)^($D15+$C15)</f>
        <v>14257.608868461788</v>
      </c>
      <c r="W15" s="163"/>
      <c r="X15" s="163"/>
      <c r="Y15" s="163"/>
      <c r="Z15" s="163"/>
      <c r="AA15" s="163"/>
      <c r="AB15" s="163"/>
      <c r="AC15" s="163"/>
      <c r="AD15" s="166">
        <f>$E15*(1+$K$1)^($D15+2*$C15)</f>
        <v>18061.112346694132</v>
      </c>
      <c r="AE15" s="163"/>
      <c r="AF15" s="163"/>
      <c r="AG15" s="163"/>
      <c r="AH15" s="163"/>
      <c r="AI15" s="164"/>
      <c r="AJ15" s="165"/>
      <c r="AK15" s="165"/>
      <c r="AL15" s="165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</row>
    <row r="16" spans="1:48" s="59" customFormat="1" ht="21.95" customHeight="1">
      <c r="A16" s="191" t="s">
        <v>66</v>
      </c>
      <c r="B16" s="192">
        <v>2015</v>
      </c>
      <c r="C16" s="192">
        <v>30</v>
      </c>
      <c r="D16" s="192">
        <v>24</v>
      </c>
      <c r="E16" s="193">
        <v>14420</v>
      </c>
      <c r="F16" s="194" t="s">
        <v>56</v>
      </c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4"/>
      <c r="AJ16" s="165"/>
      <c r="AK16" s="166">
        <f>$E16*(1+$K$1)^($D16)</f>
        <v>29312.891015158995</v>
      </c>
      <c r="AL16" s="165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</row>
    <row r="17" spans="1:48" s="59" customFormat="1" ht="21.95" customHeight="1">
      <c r="A17" s="191" t="s">
        <v>67</v>
      </c>
      <c r="B17" s="192">
        <v>2018</v>
      </c>
      <c r="C17" s="192">
        <v>20</v>
      </c>
      <c r="D17" s="192">
        <v>17</v>
      </c>
      <c r="E17" s="193">
        <v>26780</v>
      </c>
      <c r="F17" s="194">
        <f>851.75+2350</f>
        <v>3201.75</v>
      </c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63"/>
      <c r="U17" s="163"/>
      <c r="V17" s="163"/>
      <c r="W17" s="163"/>
      <c r="X17" s="163"/>
      <c r="Y17" s="163"/>
      <c r="Z17" s="163"/>
      <c r="AA17" s="163"/>
      <c r="AB17" s="166">
        <f>$E17*(1+$K$1)^($D17)</f>
        <v>44263.259592237482</v>
      </c>
      <c r="AC17" s="163"/>
      <c r="AD17" s="163"/>
      <c r="AE17" s="163"/>
      <c r="AF17" s="163"/>
      <c r="AG17" s="166"/>
      <c r="AH17" s="163"/>
      <c r="AI17" s="164"/>
      <c r="AJ17" s="165"/>
      <c r="AK17" s="165"/>
      <c r="AL17" s="165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</row>
    <row r="18" spans="1:48" s="59" customFormat="1" ht="21.95" customHeight="1">
      <c r="A18" s="191" t="s">
        <v>68</v>
      </c>
      <c r="B18" s="192">
        <v>2013</v>
      </c>
      <c r="C18" s="192">
        <v>10</v>
      </c>
      <c r="D18" s="192">
        <v>2</v>
      </c>
      <c r="E18" s="193">
        <v>10300</v>
      </c>
      <c r="F18" s="194"/>
      <c r="G18" s="194"/>
      <c r="H18" s="194"/>
      <c r="I18" s="194"/>
      <c r="J18" s="194"/>
      <c r="K18" s="194"/>
      <c r="L18" s="194"/>
      <c r="M18" s="194">
        <f>$E18*(1+$K$1)^($D18)</f>
        <v>10927.27</v>
      </c>
      <c r="N18" s="194"/>
      <c r="O18" s="194"/>
      <c r="P18" s="194"/>
      <c r="Q18" s="194"/>
      <c r="R18" s="194"/>
      <c r="S18" s="194"/>
      <c r="T18" s="163"/>
      <c r="U18" s="163"/>
      <c r="V18" s="163"/>
      <c r="W18" s="166">
        <f>$E18*(1+$K$1)^($D18+$C18)</f>
        <v>14685.337134515639</v>
      </c>
      <c r="X18" s="163"/>
      <c r="Y18" s="163"/>
      <c r="Z18" s="163"/>
      <c r="AA18" s="163"/>
      <c r="AB18" s="163"/>
      <c r="AC18" s="163"/>
      <c r="AD18" s="163"/>
      <c r="AE18" s="163"/>
      <c r="AF18" s="163"/>
      <c r="AG18" s="166">
        <f>$E18*(1+$K$1)^($D18+2*$C18)</f>
        <v>19735.865111266037</v>
      </c>
      <c r="AH18" s="163"/>
      <c r="AI18" s="164"/>
      <c r="AJ18" s="165"/>
      <c r="AK18" s="165"/>
      <c r="AL18" s="165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</row>
    <row r="19" spans="1:48" s="59" customFormat="1" ht="21.95" customHeight="1">
      <c r="A19" s="191" t="s">
        <v>85</v>
      </c>
      <c r="B19" s="192">
        <v>2017</v>
      </c>
      <c r="C19" s="192">
        <v>10</v>
      </c>
      <c r="D19" s="192">
        <v>6</v>
      </c>
      <c r="E19" s="193">
        <v>10300</v>
      </c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>
        <f>$E19*(1+$K$1)^($D19)</f>
        <v>12298.738654248698</v>
      </c>
      <c r="R19" s="194"/>
      <c r="S19" s="194"/>
      <c r="T19" s="163"/>
      <c r="U19" s="163"/>
      <c r="V19" s="163"/>
      <c r="W19" s="163"/>
      <c r="X19" s="163"/>
      <c r="Y19" s="163"/>
      <c r="Z19" s="163"/>
      <c r="AA19" s="166">
        <f>$E19*(1+$K$1)^($D19+$C19)</f>
        <v>16528.476322717506</v>
      </c>
      <c r="AB19" s="163"/>
      <c r="AC19" s="163"/>
      <c r="AD19" s="163"/>
      <c r="AE19" s="163"/>
      <c r="AF19" s="163"/>
      <c r="AG19" s="163"/>
      <c r="AH19" s="163"/>
      <c r="AI19" s="164"/>
      <c r="AJ19" s="165"/>
      <c r="AK19" s="166">
        <f>$E19*(1+$K$1)^($D19+2*$C19)</f>
        <v>22212.890055701559</v>
      </c>
      <c r="AL19" s="165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</row>
    <row r="20" spans="1:48" s="59" customFormat="1" ht="21.95" customHeight="1">
      <c r="A20" s="191" t="s">
        <v>86</v>
      </c>
      <c r="B20" s="192">
        <v>2019</v>
      </c>
      <c r="C20" s="192">
        <v>8</v>
      </c>
      <c r="D20" s="192">
        <v>0</v>
      </c>
      <c r="E20" s="193">
        <v>15450</v>
      </c>
      <c r="F20" s="194"/>
      <c r="G20" s="194">
        <f>$E20*(1+$K$1)^($D20)</f>
        <v>15450</v>
      </c>
      <c r="H20" s="194"/>
      <c r="I20" s="194"/>
      <c r="J20" s="194"/>
      <c r="K20" s="194"/>
      <c r="L20" s="194"/>
      <c r="M20" s="194"/>
      <c r="N20" s="194"/>
      <c r="O20" s="194"/>
      <c r="P20" s="194"/>
      <c r="Q20" s="194">
        <f>$E20*(1+$K$1)^($D20+$C20)</f>
        <v>19571.597757438667</v>
      </c>
      <c r="R20" s="194"/>
      <c r="S20" s="194"/>
      <c r="T20" s="163"/>
      <c r="U20" s="163"/>
      <c r="V20" s="163"/>
      <c r="W20" s="163"/>
      <c r="X20" s="163"/>
      <c r="Y20" s="166">
        <f>$E20*(1+$K$1)^($D20+2*$C20)</f>
        <v>24792.714484076259</v>
      </c>
      <c r="Z20" s="163"/>
      <c r="AA20" s="163"/>
      <c r="AB20" s="163"/>
      <c r="AC20" s="163"/>
      <c r="AD20" s="163"/>
      <c r="AE20" s="163"/>
      <c r="AF20" s="163"/>
      <c r="AG20" s="166">
        <f>$E20*(1+$K$1)^($D20+3*$C20)</f>
        <v>31406.668944813209</v>
      </c>
      <c r="AH20" s="163"/>
      <c r="AI20" s="164"/>
      <c r="AJ20" s="165"/>
      <c r="AK20" s="165"/>
      <c r="AL20" s="165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</row>
    <row r="21" spans="1:48" s="59" customFormat="1" ht="21.95" customHeight="1">
      <c r="A21" s="191" t="s">
        <v>87</v>
      </c>
      <c r="B21" s="192">
        <v>2013</v>
      </c>
      <c r="C21" s="192">
        <v>8</v>
      </c>
      <c r="D21" s="192">
        <v>1</v>
      </c>
      <c r="E21" s="193">
        <v>10000</v>
      </c>
      <c r="F21" s="194">
        <v>4170.8599999999997</v>
      </c>
      <c r="G21" s="194"/>
      <c r="H21" s="194"/>
      <c r="I21" s="194"/>
      <c r="J21" s="194"/>
      <c r="K21" s="180"/>
      <c r="L21" s="194">
        <v>10609</v>
      </c>
      <c r="M21" s="194"/>
      <c r="N21" s="194"/>
      <c r="O21" s="194"/>
      <c r="P21" s="194"/>
      <c r="Q21" s="194"/>
      <c r="R21" s="194"/>
      <c r="S21" s="194">
        <f>$E21*(1+$K$1)^($D21+$C21)</f>
        <v>13047.731838292444</v>
      </c>
      <c r="T21" s="163"/>
      <c r="U21" s="163"/>
      <c r="V21" s="163"/>
      <c r="W21" s="163"/>
      <c r="X21" s="163"/>
      <c r="Y21" s="163"/>
      <c r="Z21" s="163"/>
      <c r="AA21" s="166">
        <f>$E21*(1+$K$1)^($D21+2*$C21)</f>
        <v>16528.476322717506</v>
      </c>
      <c r="AB21" s="163"/>
      <c r="AC21" s="163"/>
      <c r="AD21" s="163"/>
      <c r="AE21" s="163"/>
      <c r="AF21" s="163"/>
      <c r="AG21" s="163"/>
      <c r="AH21" s="163"/>
      <c r="AI21" s="166">
        <f>$E21*(1+$K$1)^($D21+3*$C21)</f>
        <v>20937.779296542139</v>
      </c>
      <c r="AJ21" s="165"/>
      <c r="AK21" s="165"/>
      <c r="AL21" s="165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</row>
    <row r="22" spans="1:48" s="59" customFormat="1" ht="21.95" customHeight="1">
      <c r="A22" s="191" t="s">
        <v>104</v>
      </c>
      <c r="B22" s="192">
        <v>2015</v>
      </c>
      <c r="C22" s="192">
        <v>5</v>
      </c>
      <c r="D22" s="192">
        <v>1</v>
      </c>
      <c r="E22" s="193">
        <v>20000</v>
      </c>
      <c r="F22" s="194">
        <f>11250+3024</f>
        <v>14274</v>
      </c>
      <c r="G22" s="194">
        <v>2000</v>
      </c>
      <c r="H22" s="194"/>
      <c r="I22" s="194">
        <v>0</v>
      </c>
      <c r="J22" s="194"/>
      <c r="K22" s="194">
        <v>2000</v>
      </c>
      <c r="L22" s="194">
        <v>3000</v>
      </c>
      <c r="M22" s="194">
        <v>3000</v>
      </c>
      <c r="N22" s="194"/>
      <c r="O22" s="194"/>
      <c r="P22" s="194">
        <v>3000</v>
      </c>
      <c r="Q22" s="194">
        <v>3000</v>
      </c>
      <c r="R22" s="194">
        <v>3000</v>
      </c>
      <c r="S22" s="194"/>
      <c r="T22" s="163"/>
      <c r="U22" s="163">
        <v>3200</v>
      </c>
      <c r="V22" s="163">
        <v>3200</v>
      </c>
      <c r="W22" s="163">
        <v>3200</v>
      </c>
      <c r="X22" s="163"/>
      <c r="Y22" s="163"/>
      <c r="Z22" s="163">
        <v>3400</v>
      </c>
      <c r="AA22" s="166">
        <v>3400</v>
      </c>
      <c r="AB22" s="163">
        <v>3400</v>
      </c>
      <c r="AC22" s="163"/>
      <c r="AD22" s="163"/>
      <c r="AE22" s="163">
        <v>3600</v>
      </c>
      <c r="AF22" s="163">
        <v>3600</v>
      </c>
      <c r="AG22" s="163">
        <v>3600</v>
      </c>
      <c r="AH22" s="163"/>
      <c r="AI22" s="166"/>
      <c r="AJ22" s="165">
        <v>3800</v>
      </c>
      <c r="AK22" s="165">
        <v>3800</v>
      </c>
      <c r="AL22" s="165">
        <v>3800</v>
      </c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</row>
    <row r="23" spans="1:48" s="59" customFormat="1" ht="21.95" customHeight="1">
      <c r="A23" s="191" t="s">
        <v>88</v>
      </c>
      <c r="B23" s="192">
        <v>2016</v>
      </c>
      <c r="C23" s="192">
        <v>10</v>
      </c>
      <c r="D23" s="192">
        <v>5</v>
      </c>
      <c r="E23" s="193">
        <v>65302</v>
      </c>
      <c r="F23" s="194"/>
      <c r="G23" s="194"/>
      <c r="H23" s="194"/>
      <c r="I23" s="194"/>
      <c r="J23" s="194"/>
      <c r="K23" s="194" t="s">
        <v>56</v>
      </c>
      <c r="L23" s="194"/>
      <c r="M23" s="194"/>
      <c r="N23" s="194"/>
      <c r="O23" s="194"/>
      <c r="P23" s="194">
        <v>80313</v>
      </c>
      <c r="Q23" s="194"/>
      <c r="R23" s="194"/>
      <c r="S23" s="194"/>
      <c r="T23" s="163"/>
      <c r="U23" s="163"/>
      <c r="V23" s="163"/>
      <c r="W23" s="163"/>
      <c r="X23" s="163"/>
      <c r="Y23" s="163"/>
      <c r="Z23" s="166">
        <f>$E23*(1+$K$1)^($D23+$C23)</f>
        <v>101738.38823886312</v>
      </c>
      <c r="AA23" s="163"/>
      <c r="AB23" s="163"/>
      <c r="AC23" s="163"/>
      <c r="AD23" s="163"/>
      <c r="AE23" s="163"/>
      <c r="AF23" s="163"/>
      <c r="AG23" s="163"/>
      <c r="AH23" s="163"/>
      <c r="AI23" s="164"/>
      <c r="AJ23" s="166">
        <f>$E23*(1+$K$1)^($D23+2*$C23)</f>
        <v>136727.88636227947</v>
      </c>
      <c r="AK23" s="165"/>
      <c r="AL23" s="165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</row>
    <row r="24" spans="1:48" s="59" customFormat="1" ht="21.95" customHeight="1">
      <c r="A24" s="191" t="s">
        <v>115</v>
      </c>
      <c r="B24" s="192"/>
      <c r="C24" s="192"/>
      <c r="D24" s="192"/>
      <c r="E24" s="193">
        <v>750000</v>
      </c>
      <c r="F24" s="194"/>
      <c r="G24" s="194">
        <v>85000</v>
      </c>
      <c r="H24" s="194"/>
      <c r="I24" s="194">
        <f>60495</f>
        <v>60495</v>
      </c>
      <c r="J24" s="194">
        <v>106500</v>
      </c>
      <c r="K24" s="194">
        <v>118575.2</v>
      </c>
      <c r="L24" s="194">
        <f>1.03*K24+101000</f>
        <v>223132.45600000001</v>
      </c>
      <c r="M24" s="194">
        <v>131127.24</v>
      </c>
      <c r="N24" s="194">
        <f>1.03*M24</f>
        <v>135061.05719999998</v>
      </c>
      <c r="O24" s="194">
        <f>1.03*N24</f>
        <v>139112.888916</v>
      </c>
      <c r="P24" s="194"/>
      <c r="Q24" s="194"/>
      <c r="R24" s="194"/>
      <c r="S24" s="194"/>
      <c r="T24" s="163"/>
      <c r="U24" s="163"/>
      <c r="V24" s="163"/>
      <c r="W24" s="163"/>
      <c r="X24" s="163"/>
      <c r="Y24" s="163"/>
      <c r="Z24" s="163"/>
      <c r="AA24" s="163"/>
      <c r="AB24" s="166"/>
      <c r="AC24" s="163"/>
      <c r="AD24" s="163"/>
      <c r="AE24" s="163"/>
      <c r="AF24" s="163"/>
      <c r="AG24" s="166"/>
      <c r="AH24" s="163"/>
      <c r="AI24" s="164"/>
      <c r="AJ24" s="165"/>
      <c r="AK24" s="165"/>
      <c r="AL24" s="166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</row>
    <row r="25" spans="1:48" s="59" customFormat="1" ht="21.95" customHeight="1">
      <c r="A25" s="191" t="s">
        <v>114</v>
      </c>
      <c r="B25" s="192"/>
      <c r="C25" s="192">
        <v>5</v>
      </c>
      <c r="D25" s="192">
        <v>0</v>
      </c>
      <c r="E25" s="193">
        <v>10300</v>
      </c>
      <c r="F25" s="194" t="s">
        <v>56</v>
      </c>
      <c r="G25" s="194">
        <v>10300</v>
      </c>
      <c r="H25" s="194"/>
      <c r="I25" s="194">
        <v>0</v>
      </c>
      <c r="J25" s="194"/>
      <c r="K25" s="194">
        <v>4000</v>
      </c>
      <c r="L25" s="194">
        <v>11255.088100000001</v>
      </c>
      <c r="M25" s="194">
        <v>11592.740742999998</v>
      </c>
      <c r="N25" s="194">
        <v>11940.522965289998</v>
      </c>
      <c r="O25" s="194">
        <v>12298.738654248698</v>
      </c>
      <c r="P25" s="194">
        <v>12667.700813876161</v>
      </c>
      <c r="Q25" s="194">
        <v>13047.731838292444</v>
      </c>
      <c r="R25" s="194">
        <v>13439.163793441217</v>
      </c>
      <c r="S25" s="194">
        <v>13842.338707244455</v>
      </c>
      <c r="T25" s="166">
        <v>14257.608868461788</v>
      </c>
      <c r="U25" s="166">
        <v>14685.337134515639</v>
      </c>
      <c r="V25" s="166">
        <v>15125.897248551108</v>
      </c>
      <c r="W25" s="166">
        <v>15579.674166007644</v>
      </c>
      <c r="X25" s="166">
        <v>16047.064390987875</v>
      </c>
      <c r="Y25" s="166">
        <v>16528.476322717506</v>
      </c>
      <c r="Z25" s="166">
        <v>17024.330612399033</v>
      </c>
      <c r="AA25" s="166">
        <v>17535.060530771003</v>
      </c>
      <c r="AB25" s="166">
        <v>18061.112346694132</v>
      </c>
      <c r="AC25" s="166">
        <v>18602.945717094957</v>
      </c>
      <c r="AD25" s="166">
        <v>19161.034088607801</v>
      </c>
      <c r="AE25" s="166">
        <v>19735.865111266037</v>
      </c>
      <c r="AF25" s="166">
        <v>20327.94106460402</v>
      </c>
      <c r="AG25" s="166">
        <v>20937.779296542139</v>
      </c>
      <c r="AH25" s="166">
        <v>21565.912675438401</v>
      </c>
      <c r="AI25" s="166">
        <v>22212.890055701559</v>
      </c>
      <c r="AJ25" s="166">
        <v>22879.276757372601</v>
      </c>
      <c r="AK25" s="166">
        <v>23565.655060093781</v>
      </c>
      <c r="AL25" s="166">
        <v>24272.624711896591</v>
      </c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</row>
    <row r="26" spans="1:48" s="59" customFormat="1" ht="21.95" customHeight="1">
      <c r="A26" s="191" t="s">
        <v>89</v>
      </c>
      <c r="B26" s="192">
        <v>2016</v>
      </c>
      <c r="C26" s="192">
        <v>20</v>
      </c>
      <c r="D26" s="192">
        <v>15</v>
      </c>
      <c r="E26" s="193">
        <v>288400</v>
      </c>
      <c r="F26" s="194">
        <v>723.75</v>
      </c>
      <c r="G26" s="194"/>
      <c r="H26" s="194"/>
      <c r="I26" s="194"/>
      <c r="J26" s="194"/>
      <c r="K26" s="194" t="s">
        <v>56</v>
      </c>
      <c r="L26" s="194">
        <v>5274.28</v>
      </c>
      <c r="M26" s="194"/>
      <c r="N26" s="194"/>
      <c r="O26" s="194"/>
      <c r="P26" s="194"/>
      <c r="Q26" s="194"/>
      <c r="R26" s="194"/>
      <c r="S26" s="194"/>
      <c r="T26" s="163"/>
      <c r="U26" s="163"/>
      <c r="V26" s="163"/>
      <c r="W26" s="163"/>
      <c r="X26" s="163"/>
      <c r="Y26" s="163"/>
      <c r="Z26" s="166">
        <f>$E26*(1+$K$1)^($D26)</f>
        <v>449317.80294766044</v>
      </c>
      <c r="AA26" s="163"/>
      <c r="AB26" s="163"/>
      <c r="AC26" s="163"/>
      <c r="AD26" s="163"/>
      <c r="AE26" s="163"/>
      <c r="AF26" s="163"/>
      <c r="AG26" s="163"/>
      <c r="AH26" s="163"/>
      <c r="AI26" s="164"/>
      <c r="AJ26" s="165"/>
      <c r="AK26" s="165"/>
      <c r="AL26" s="165"/>
      <c r="AM26" s="162"/>
      <c r="AN26" s="162"/>
      <c r="AO26" s="162"/>
      <c r="AP26" s="162"/>
      <c r="AQ26" s="162"/>
      <c r="AR26" s="162"/>
      <c r="AS26" s="162"/>
      <c r="AT26" s="166">
        <f>$E26*(1+$K$1)^($D26+$C26)</f>
        <v>811517.93184074713</v>
      </c>
      <c r="AU26" s="162"/>
      <c r="AV26" s="162"/>
    </row>
    <row r="27" spans="1:48" s="59" customFormat="1" ht="21.95" customHeight="1">
      <c r="A27" s="191" t="s">
        <v>90</v>
      </c>
      <c r="B27" s="192">
        <v>2003</v>
      </c>
      <c r="C27" s="192">
        <v>20</v>
      </c>
      <c r="D27" s="192">
        <v>2</v>
      </c>
      <c r="E27" s="193">
        <v>167522.3230490018</v>
      </c>
      <c r="F27" s="194">
        <v>200</v>
      </c>
      <c r="G27" s="194"/>
      <c r="H27" s="194"/>
      <c r="I27" s="194"/>
      <c r="J27" s="194"/>
      <c r="K27" s="194"/>
      <c r="L27" s="194"/>
      <c r="M27" s="194"/>
      <c r="N27" s="194"/>
      <c r="O27" s="194">
        <f>$E27*(1+$K$1)^($D27)+E28</f>
        <v>212793.03506352083</v>
      </c>
      <c r="P27" s="194"/>
      <c r="Q27" s="194"/>
      <c r="R27" s="194"/>
      <c r="S27" s="194"/>
      <c r="T27" s="163"/>
      <c r="U27" s="163"/>
      <c r="V27" s="163"/>
      <c r="W27" s="163"/>
      <c r="X27" s="163"/>
      <c r="Y27" s="163"/>
      <c r="Z27" s="163"/>
      <c r="AA27" s="162"/>
      <c r="AB27" s="163"/>
      <c r="AC27" s="163"/>
      <c r="AD27" s="163"/>
      <c r="AE27" s="163"/>
      <c r="AF27" s="166">
        <f>$E27*(1+$K$1)^($D27+C27)</f>
        <v>320990.09425446927</v>
      </c>
      <c r="AG27" s="163"/>
      <c r="AH27" s="163"/>
      <c r="AI27" s="164"/>
      <c r="AJ27" s="165"/>
      <c r="AK27" s="165"/>
      <c r="AL27" s="165"/>
      <c r="AM27" s="162"/>
      <c r="AN27" s="162"/>
      <c r="AO27" s="162"/>
      <c r="AP27" s="162"/>
      <c r="AQ27" s="162"/>
      <c r="AR27" s="162"/>
      <c r="AS27" s="162"/>
      <c r="AT27" s="166"/>
      <c r="AU27" s="166">
        <f>$E27*(1+$K$1)^($D27+$C27)</f>
        <v>320990.09425446927</v>
      </c>
      <c r="AV27" s="162"/>
    </row>
    <row r="28" spans="1:48" s="59" customFormat="1" ht="21.95" customHeight="1">
      <c r="A28" s="191" t="s">
        <v>91</v>
      </c>
      <c r="B28" s="192">
        <v>2015</v>
      </c>
      <c r="C28" s="192">
        <v>20</v>
      </c>
      <c r="D28" s="192">
        <v>14</v>
      </c>
      <c r="E28" s="193">
        <v>35068.602540834843</v>
      </c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63"/>
      <c r="U28" s="163"/>
      <c r="V28" s="163"/>
      <c r="W28" s="163"/>
      <c r="X28" s="163"/>
      <c r="Y28" s="166">
        <f>$E28*(1+$K$1)^($D28)</f>
        <v>53044.40786829462</v>
      </c>
      <c r="Z28" s="163"/>
      <c r="AA28" s="163"/>
      <c r="AB28" s="163"/>
      <c r="AC28" s="163"/>
      <c r="AD28" s="163"/>
      <c r="AE28" s="163"/>
      <c r="AF28" s="163"/>
      <c r="AG28" s="163"/>
      <c r="AH28" s="163"/>
      <c r="AI28" s="164"/>
      <c r="AJ28" s="165"/>
      <c r="AK28" s="165"/>
      <c r="AL28" s="165"/>
      <c r="AM28" s="166"/>
      <c r="AN28" s="162"/>
      <c r="AO28" s="162"/>
      <c r="AP28" s="162"/>
      <c r="AQ28" s="162"/>
      <c r="AR28" s="162"/>
      <c r="AS28" s="166">
        <f>$E28*(1+$K$1)^($D28+$C28)</f>
        <v>95804.100987313519</v>
      </c>
      <c r="AT28" s="162"/>
      <c r="AU28" s="162"/>
      <c r="AV28" s="162"/>
    </row>
    <row r="29" spans="1:48" s="59" customFormat="1" ht="21.95" customHeight="1">
      <c r="A29" s="191" t="s">
        <v>127</v>
      </c>
      <c r="B29" s="192"/>
      <c r="C29" s="192"/>
      <c r="D29" s="192"/>
      <c r="E29" s="193"/>
      <c r="F29" s="194"/>
      <c r="G29" s="194"/>
      <c r="H29" s="194"/>
      <c r="I29" s="194">
        <v>60000</v>
      </c>
      <c r="J29" s="194">
        <v>50000</v>
      </c>
      <c r="K29" s="194">
        <v>5000</v>
      </c>
      <c r="L29" s="194">
        <f>1.03*K29</f>
        <v>5150</v>
      </c>
      <c r="M29" s="194">
        <f>1.03*L29</f>
        <v>5304.5</v>
      </c>
      <c r="N29" s="194">
        <f>1.03*M29</f>
        <v>5463.6350000000002</v>
      </c>
      <c r="O29" s="194">
        <f>1.03*N29</f>
        <v>5627.5440500000004</v>
      </c>
      <c r="P29" s="194"/>
      <c r="Q29" s="194"/>
      <c r="R29" s="194"/>
      <c r="S29" s="194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4"/>
      <c r="AJ29" s="165"/>
      <c r="AK29" s="165"/>
      <c r="AL29" s="163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</row>
    <row r="30" spans="1:48" s="59" customFormat="1" ht="21.95" customHeight="1">
      <c r="A30" s="191" t="s">
        <v>128</v>
      </c>
      <c r="B30" s="192"/>
      <c r="C30" s="192"/>
      <c r="D30" s="192"/>
      <c r="E30" s="193">
        <v>53091</v>
      </c>
      <c r="F30" s="194"/>
      <c r="G30" s="194"/>
      <c r="H30" s="194"/>
      <c r="I30" s="194"/>
      <c r="J30" s="194"/>
      <c r="K30" s="194">
        <v>0</v>
      </c>
      <c r="L30" s="194">
        <v>15000</v>
      </c>
      <c r="M30" s="194">
        <v>10609</v>
      </c>
      <c r="N30" s="194">
        <v>10927</v>
      </c>
      <c r="O30" s="194">
        <v>11255</v>
      </c>
      <c r="P30" s="194"/>
      <c r="Q30" s="194"/>
      <c r="R30" s="194"/>
      <c r="S30" s="194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4"/>
      <c r="AJ30" s="165"/>
      <c r="AK30" s="165"/>
      <c r="AL30" s="163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</row>
    <row r="31" spans="1:48" s="59" customFormat="1" ht="21.95" customHeight="1">
      <c r="A31" s="191" t="s">
        <v>126</v>
      </c>
      <c r="B31" s="192"/>
      <c r="C31" s="192"/>
      <c r="D31" s="192"/>
      <c r="E31" s="193">
        <v>53091</v>
      </c>
      <c r="F31" s="194"/>
      <c r="G31" s="194"/>
      <c r="H31" s="194"/>
      <c r="I31" s="194"/>
      <c r="J31" s="194"/>
      <c r="K31" s="194">
        <v>10000</v>
      </c>
      <c r="L31" s="194">
        <v>10300</v>
      </c>
      <c r="M31" s="194">
        <v>10609</v>
      </c>
      <c r="N31" s="194">
        <v>10927</v>
      </c>
      <c r="O31" s="194">
        <v>11255</v>
      </c>
      <c r="P31" s="194"/>
      <c r="Q31" s="194"/>
      <c r="R31" s="194"/>
      <c r="S31" s="194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4"/>
      <c r="AJ31" s="165"/>
      <c r="AK31" s="165"/>
      <c r="AL31" s="163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</row>
    <row r="32" spans="1:48" s="59" customFormat="1" ht="21.95" customHeight="1">
      <c r="A32" s="191" t="s">
        <v>129</v>
      </c>
      <c r="B32" s="192"/>
      <c r="C32" s="192"/>
      <c r="D32" s="192"/>
      <c r="E32" s="193">
        <v>88091</v>
      </c>
      <c r="F32" s="194"/>
      <c r="G32" s="194"/>
      <c r="H32" s="194"/>
      <c r="I32" s="194"/>
      <c r="J32" s="194"/>
      <c r="K32" s="194">
        <v>12500</v>
      </c>
      <c r="L32" s="194">
        <v>10300</v>
      </c>
      <c r="M32" s="194">
        <v>10609</v>
      </c>
      <c r="N32" s="194">
        <v>10927</v>
      </c>
      <c r="O32" s="194">
        <v>11255</v>
      </c>
      <c r="P32" s="194"/>
      <c r="Q32" s="194"/>
      <c r="R32" s="194"/>
      <c r="S32" s="194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4"/>
      <c r="AJ32" s="165"/>
      <c r="AK32" s="165"/>
      <c r="AL32" s="163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</row>
    <row r="33" spans="1:48" s="59" customFormat="1" ht="21.95" customHeight="1">
      <c r="A33" s="191" t="s">
        <v>92</v>
      </c>
      <c r="B33" s="192">
        <v>1999</v>
      </c>
      <c r="C33" s="192">
        <v>5</v>
      </c>
      <c r="D33" s="192">
        <v>3</v>
      </c>
      <c r="E33" s="193">
        <v>10300</v>
      </c>
      <c r="F33" s="194"/>
      <c r="G33" s="194"/>
      <c r="H33" s="194"/>
      <c r="I33" s="194">
        <v>33549.94</v>
      </c>
      <c r="J33" s="194">
        <v>33500</v>
      </c>
      <c r="K33" s="194">
        <v>0</v>
      </c>
      <c r="L33" s="194"/>
      <c r="M33" s="194"/>
      <c r="N33" s="194">
        <f>$E33*(1+$K$1)^($D33)</f>
        <v>11255.088100000001</v>
      </c>
      <c r="O33" s="194"/>
      <c r="P33" s="194"/>
      <c r="Q33" s="194"/>
      <c r="R33" s="194"/>
      <c r="S33" s="194">
        <f>$E33*(1+$K$1)^($D33+$C33)</f>
        <v>13047.731838292444</v>
      </c>
      <c r="T33" s="163"/>
      <c r="U33" s="163"/>
      <c r="V33" s="163"/>
      <c r="W33" s="163"/>
      <c r="X33" s="166">
        <f>$E33*(1+$K$1)^($D33+2*$C33)</f>
        <v>15125.897248551108</v>
      </c>
      <c r="Y33" s="163"/>
      <c r="Z33" s="163"/>
      <c r="AA33" s="163"/>
      <c r="AB33" s="163"/>
      <c r="AC33" s="166">
        <f>$E33*(1+$K$1)^($D33+3*$C33)</f>
        <v>17535.060530771003</v>
      </c>
      <c r="AD33" s="163"/>
      <c r="AE33" s="163"/>
      <c r="AF33" s="163"/>
      <c r="AG33" s="163"/>
      <c r="AH33" s="166">
        <f>$E33*(1+$K$1)^($D33+4*$C33)</f>
        <v>20327.94106460402</v>
      </c>
      <c r="AI33" s="164"/>
      <c r="AJ33" s="165"/>
      <c r="AK33" s="165"/>
      <c r="AL33" s="165"/>
      <c r="AM33" s="166">
        <f>$E33*(1+$K$1)^($D33+5*$C33)</f>
        <v>23565.655060093781</v>
      </c>
      <c r="AN33" s="162"/>
      <c r="AO33" s="162"/>
      <c r="AP33" s="162"/>
      <c r="AQ33" s="162"/>
      <c r="AR33" s="162"/>
      <c r="AS33" s="162"/>
      <c r="AT33" s="162"/>
      <c r="AU33" s="162"/>
      <c r="AV33" s="162"/>
    </row>
    <row r="34" spans="1:48" ht="21.95" customHeight="1">
      <c r="A34" s="90"/>
      <c r="B34" s="187"/>
      <c r="C34" s="187"/>
      <c r="D34" s="187"/>
      <c r="E34" s="187"/>
      <c r="F34" s="91">
        <v>2018</v>
      </c>
      <c r="G34" s="91">
        <v>2019</v>
      </c>
      <c r="H34" s="91"/>
      <c r="I34" s="91">
        <v>2020</v>
      </c>
      <c r="J34" s="91" t="s">
        <v>131</v>
      </c>
      <c r="K34" s="91">
        <v>2021</v>
      </c>
      <c r="L34" s="91">
        <v>2022</v>
      </c>
      <c r="M34" s="91">
        <v>2023</v>
      </c>
      <c r="N34" s="91">
        <v>2024</v>
      </c>
      <c r="O34" s="91">
        <v>2025</v>
      </c>
      <c r="P34" s="91">
        <v>2026</v>
      </c>
      <c r="Q34" s="92">
        <v>2027</v>
      </c>
      <c r="R34" s="92">
        <v>2028</v>
      </c>
      <c r="S34" s="92">
        <v>2029</v>
      </c>
      <c r="T34" s="92">
        <v>2030</v>
      </c>
      <c r="U34" s="92">
        <v>2031</v>
      </c>
      <c r="V34" s="92">
        <v>2032</v>
      </c>
      <c r="W34" s="92">
        <v>2033</v>
      </c>
      <c r="X34" s="92">
        <v>2034</v>
      </c>
      <c r="Y34" s="92">
        <v>2035</v>
      </c>
      <c r="Z34" s="92">
        <v>2036</v>
      </c>
      <c r="AA34" s="92">
        <v>2037</v>
      </c>
      <c r="AB34" s="92">
        <v>2038</v>
      </c>
      <c r="AC34" s="92">
        <v>2039</v>
      </c>
      <c r="AD34" s="92">
        <v>2040</v>
      </c>
      <c r="AE34" s="92">
        <v>2041</v>
      </c>
      <c r="AF34" s="92">
        <v>2042</v>
      </c>
      <c r="AG34" s="92">
        <v>2043</v>
      </c>
      <c r="AH34" s="92">
        <v>2044</v>
      </c>
      <c r="AI34" s="92">
        <v>2045</v>
      </c>
      <c r="AJ34" s="92">
        <v>2046</v>
      </c>
      <c r="AK34" s="92">
        <v>2047</v>
      </c>
      <c r="AL34" s="92">
        <v>2048</v>
      </c>
      <c r="AM34" s="92">
        <v>2049</v>
      </c>
    </row>
    <row r="35" spans="1:48" ht="21.95" customHeight="1">
      <c r="A35" s="182" t="s">
        <v>93</v>
      </c>
      <c r="B35" s="183"/>
      <c r="C35" s="183"/>
      <c r="D35" s="183"/>
      <c r="E35" s="183"/>
      <c r="F35" s="184">
        <f>SUM(F3:F33)</f>
        <v>35470.36</v>
      </c>
      <c r="G35" s="184">
        <f>SUM(G3:G33)</f>
        <v>150840</v>
      </c>
      <c r="H35" s="184"/>
      <c r="I35" s="184">
        <f t="shared" ref="I35:AM35" si="0">SUM(I3:I33)</f>
        <v>154044.94</v>
      </c>
      <c r="J35" s="184">
        <f t="shared" si="0"/>
        <v>190000</v>
      </c>
      <c r="K35" s="184">
        <f>76137.13</f>
        <v>76137.13</v>
      </c>
      <c r="L35" s="184">
        <f t="shared" si="0"/>
        <v>357929.26410000003</v>
      </c>
      <c r="M35" s="184">
        <f t="shared" si="0"/>
        <v>204706.020743</v>
      </c>
      <c r="N35" s="184">
        <f t="shared" si="0"/>
        <v>253902.25257528998</v>
      </c>
      <c r="O35" s="184">
        <f t="shared" si="0"/>
        <v>407286.82828004414</v>
      </c>
      <c r="P35" s="184">
        <f t="shared" si="0"/>
        <v>147933.91623585296</v>
      </c>
      <c r="Q35" s="184">
        <f t="shared" si="0"/>
        <v>77318.203002961323</v>
      </c>
      <c r="R35" s="184">
        <f t="shared" si="0"/>
        <v>23158.745690161828</v>
      </c>
      <c r="S35" s="184">
        <f t="shared" si="0"/>
        <v>86974.8756608736</v>
      </c>
      <c r="T35" s="168">
        <f t="shared" si="0"/>
        <v>70164.53024917726</v>
      </c>
      <c r="U35" s="168">
        <f t="shared" si="0"/>
        <v>36133.276982114789</v>
      </c>
      <c r="V35" s="168">
        <f t="shared" si="0"/>
        <v>91039.702477706232</v>
      </c>
      <c r="W35" s="168">
        <f t="shared" si="0"/>
        <v>33465.011300523285</v>
      </c>
      <c r="X35" s="168">
        <f t="shared" si="0"/>
        <v>40248.499988669646</v>
      </c>
      <c r="Y35" s="168">
        <f t="shared" si="0"/>
        <v>125524.94700710368</v>
      </c>
      <c r="Z35" s="168">
        <f t="shared" si="0"/>
        <v>579992.68710512214</v>
      </c>
      <c r="AA35" s="168">
        <f t="shared" si="0"/>
        <v>59252.531335437321</v>
      </c>
      <c r="AB35" s="168">
        <f t="shared" si="0"/>
        <v>136545.58728651158</v>
      </c>
      <c r="AC35" s="168">
        <f t="shared" si="0"/>
        <v>53673.066778636959</v>
      </c>
      <c r="AD35" s="168">
        <f t="shared" si="0"/>
        <v>111272.70705674788</v>
      </c>
      <c r="AE35" s="168">
        <f t="shared" si="0"/>
        <v>23335.865111266037</v>
      </c>
      <c r="AF35" s="168">
        <f t="shared" si="0"/>
        <v>375575.6898608458</v>
      </c>
      <c r="AG35" s="168">
        <f t="shared" si="0"/>
        <v>81961.647141584021</v>
      </c>
      <c r="AH35" s="168">
        <f t="shared" si="0"/>
        <v>93332.692206969659</v>
      </c>
      <c r="AI35" s="169">
        <f t="shared" si="0"/>
        <v>108057.78517152433</v>
      </c>
      <c r="AJ35" s="169">
        <f t="shared" si="0"/>
        <v>253121.35984947585</v>
      </c>
      <c r="AK35" s="169">
        <f t="shared" si="0"/>
        <v>156889.72655666785</v>
      </c>
      <c r="AL35" s="169">
        <f t="shared" si="0"/>
        <v>129377.9004531003</v>
      </c>
      <c r="AM35" s="169">
        <f t="shared" si="0"/>
        <v>23565.655060093781</v>
      </c>
    </row>
    <row r="36" spans="1:48" ht="21.95" hidden="1" customHeight="1">
      <c r="A36" s="90"/>
      <c r="B36" s="185"/>
      <c r="C36" s="185"/>
      <c r="D36" s="185"/>
      <c r="E36" s="185"/>
      <c r="F36" s="186"/>
      <c r="G36" s="186">
        <f>G35</f>
        <v>150840</v>
      </c>
      <c r="H36" s="186"/>
      <c r="I36" s="186">
        <f>G36+I35</f>
        <v>304884.94</v>
      </c>
      <c r="J36" s="186"/>
      <c r="K36" s="186">
        <f>I36+K35</f>
        <v>381022.07</v>
      </c>
      <c r="L36" s="186">
        <f t="shared" ref="L36:AM36" si="1">K36+L35</f>
        <v>738951.33410000009</v>
      </c>
      <c r="M36" s="186">
        <f t="shared" si="1"/>
        <v>943657.35484300007</v>
      </c>
      <c r="N36" s="186">
        <f t="shared" si="1"/>
        <v>1197559.6074182901</v>
      </c>
      <c r="O36" s="186">
        <f t="shared" si="1"/>
        <v>1604846.4356983341</v>
      </c>
      <c r="P36" s="186">
        <f t="shared" si="1"/>
        <v>1752780.3519341871</v>
      </c>
      <c r="Q36" s="186">
        <f t="shared" si="1"/>
        <v>1830098.5549371485</v>
      </c>
      <c r="R36" s="186">
        <f t="shared" si="1"/>
        <v>1853257.3006273103</v>
      </c>
      <c r="S36" s="186">
        <f t="shared" si="1"/>
        <v>1940232.1762881838</v>
      </c>
      <c r="T36" s="62">
        <f t="shared" si="1"/>
        <v>2010396.706537361</v>
      </c>
      <c r="U36" s="62">
        <f t="shared" si="1"/>
        <v>2046529.9835194759</v>
      </c>
      <c r="V36" s="62">
        <f t="shared" si="1"/>
        <v>2137569.685997182</v>
      </c>
      <c r="W36" s="62">
        <f t="shared" si="1"/>
        <v>2171034.6972977053</v>
      </c>
      <c r="X36" s="62">
        <f t="shared" si="1"/>
        <v>2211283.1972863749</v>
      </c>
      <c r="Y36" s="62">
        <f t="shared" si="1"/>
        <v>2336808.1442934787</v>
      </c>
      <c r="Z36" s="62">
        <f t="shared" si="1"/>
        <v>2916800.8313986007</v>
      </c>
      <c r="AA36" s="62">
        <f t="shared" si="1"/>
        <v>2976053.3627340379</v>
      </c>
      <c r="AB36" s="62">
        <f t="shared" si="1"/>
        <v>3112598.9500205494</v>
      </c>
      <c r="AC36" s="62">
        <f t="shared" si="1"/>
        <v>3166272.0167991864</v>
      </c>
      <c r="AD36" s="62">
        <f t="shared" si="1"/>
        <v>3277544.7238559341</v>
      </c>
      <c r="AE36" s="62">
        <f t="shared" si="1"/>
        <v>3300880.5889672004</v>
      </c>
      <c r="AF36" s="62">
        <f t="shared" si="1"/>
        <v>3676456.2788280463</v>
      </c>
      <c r="AG36" s="62">
        <f t="shared" si="1"/>
        <v>3758417.9259696305</v>
      </c>
      <c r="AH36" s="62">
        <f t="shared" si="1"/>
        <v>3851750.6181766</v>
      </c>
      <c r="AI36" s="62">
        <f t="shared" si="1"/>
        <v>3959808.4033481241</v>
      </c>
      <c r="AJ36" s="62">
        <f t="shared" si="1"/>
        <v>4212929.7631975999</v>
      </c>
      <c r="AK36" s="62">
        <f t="shared" si="1"/>
        <v>4369819.489754268</v>
      </c>
      <c r="AL36" s="62">
        <f t="shared" si="1"/>
        <v>4499197.3902073679</v>
      </c>
      <c r="AM36" s="62">
        <f t="shared" si="1"/>
        <v>4522763.0452674618</v>
      </c>
    </row>
    <row r="37" spans="1:48" ht="21.95" customHeight="1">
      <c r="A37" s="90"/>
      <c r="B37" s="187"/>
      <c r="C37" s="187"/>
      <c r="D37" s="187"/>
      <c r="E37" s="187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1"/>
      <c r="AJ37" s="61"/>
      <c r="AK37" s="61"/>
      <c r="AL37" s="60"/>
      <c r="AM37" s="60"/>
    </row>
    <row r="38" spans="1:48" ht="21.95" customHeight="1">
      <c r="A38" s="90" t="s">
        <v>94</v>
      </c>
      <c r="B38" s="187"/>
      <c r="C38" s="187"/>
      <c r="D38" s="187"/>
      <c r="E38" s="187"/>
      <c r="F38" s="195">
        <v>4849</v>
      </c>
      <c r="G38" s="195">
        <v>96620</v>
      </c>
      <c r="H38" s="195"/>
      <c r="I38" s="195">
        <v>78761</v>
      </c>
      <c r="J38" s="195">
        <v>78761</v>
      </c>
      <c r="K38" s="195">
        <f>140343.4</f>
        <v>140343.4</v>
      </c>
      <c r="L38" s="195">
        <f>K41</f>
        <v>315549.27</v>
      </c>
      <c r="M38" s="195">
        <f t="shared" ref="M38:AM38" si="2">L41</f>
        <v>204756.00589999999</v>
      </c>
      <c r="N38" s="195">
        <f t="shared" si="2"/>
        <v>275329.06515699998</v>
      </c>
      <c r="O38" s="195">
        <f t="shared" si="2"/>
        <v>282480.26498171006</v>
      </c>
      <c r="P38" s="195">
        <f t="shared" si="2"/>
        <v>126744.49267366587</v>
      </c>
      <c r="Q38" s="195">
        <f t="shared" si="2"/>
        <v>220574.16408897293</v>
      </c>
      <c r="R38" s="195">
        <f t="shared" si="2"/>
        <v>342838.45636670641</v>
      </c>
      <c r="S38" s="195">
        <f t="shared" si="2"/>
        <v>508878.68081566016</v>
      </c>
      <c r="T38" s="63">
        <f t="shared" si="2"/>
        <v>600407.74439807574</v>
      </c>
      <c r="U38" s="63">
        <f t="shared" si="2"/>
        <v>697731.27156948624</v>
      </c>
      <c r="V38" s="63">
        <f t="shared" si="2"/>
        <v>817739.6937305769</v>
      </c>
      <c r="W38" s="63">
        <f t="shared" si="2"/>
        <v>871154.94137037219</v>
      </c>
      <c r="X38" s="63">
        <f t="shared" si="2"/>
        <v>1034307.5286908755</v>
      </c>
      <c r="Y38" s="63">
        <f t="shared" si="2"/>
        <v>1210378.1552818632</v>
      </c>
      <c r="Z38" s="63">
        <f t="shared" si="2"/>
        <v>1320501.9086518066</v>
      </c>
      <c r="AA38" s="63">
        <f t="shared" si="2"/>
        <v>995104.38293504284</v>
      </c>
      <c r="AB38" s="63">
        <f t="shared" si="2"/>
        <v>1176898.8678296148</v>
      </c>
      <c r="AC38" s="63">
        <f t="shared" si="2"/>
        <v>1267445.7072600124</v>
      </c>
      <c r="AD38" s="63">
        <f t="shared" si="2"/>
        <v>1426491.8399997922</v>
      </c>
      <c r="AE38" s="63">
        <f t="shared" si="2"/>
        <v>1545233.9084470135</v>
      </c>
      <c r="AF38" s="63">
        <f t="shared" si="2"/>
        <v>1768764.2621048356</v>
      </c>
      <c r="AG38" s="63">
        <f t="shared" si="2"/>
        <v>1656448.7775761504</v>
      </c>
      <c r="AH38" s="63">
        <f t="shared" si="2"/>
        <v>1821570.1419266921</v>
      </c>
      <c r="AI38" s="64">
        <f t="shared" si="2"/>
        <v>1990757.9515566116</v>
      </c>
      <c r="AJ38" s="64">
        <f t="shared" si="2"/>
        <v>2160158.2832770837</v>
      </c>
      <c r="AK38" s="64">
        <f t="shared" si="2"/>
        <v>2166817.7838263637</v>
      </c>
      <c r="AL38" s="64">
        <f t="shared" si="2"/>
        <v>2283601.3434804142</v>
      </c>
      <c r="AM38" s="64">
        <f t="shared" si="2"/>
        <v>2409142.9278243538</v>
      </c>
    </row>
    <row r="39" spans="1:48" s="144" customFormat="1" ht="21.95" customHeight="1" thickBot="1">
      <c r="A39" s="196" t="s">
        <v>95</v>
      </c>
      <c r="B39" s="197"/>
      <c r="C39" s="197"/>
      <c r="D39" s="197"/>
      <c r="E39" s="197"/>
      <c r="F39" s="198">
        <v>127241</v>
      </c>
      <c r="G39" s="198">
        <v>190085</v>
      </c>
      <c r="H39" s="198"/>
      <c r="I39" s="198">
        <v>197525</v>
      </c>
      <c r="J39" s="198">
        <f>J51</f>
        <v>206500</v>
      </c>
      <c r="K39" s="198">
        <f>K51</f>
        <v>251343</v>
      </c>
      <c r="L39" s="198">
        <f t="shared" ref="L39:AM39" si="3">L51</f>
        <v>247136</v>
      </c>
      <c r="M39" s="198">
        <f>M51</f>
        <v>275279.08</v>
      </c>
      <c r="N39" s="198">
        <f t="shared" si="3"/>
        <v>261053.45240000001</v>
      </c>
      <c r="O39" s="198">
        <f t="shared" si="3"/>
        <v>251551.055972</v>
      </c>
      <c r="P39" s="198">
        <f t="shared" si="3"/>
        <v>241763.58765116002</v>
      </c>
      <c r="Q39" s="198">
        <f t="shared" si="3"/>
        <v>199582.4952806948</v>
      </c>
      <c r="R39" s="198">
        <f t="shared" si="3"/>
        <v>189198.97013911564</v>
      </c>
      <c r="S39" s="198">
        <f t="shared" si="3"/>
        <v>178503.93924328912</v>
      </c>
      <c r="T39" s="143">
        <f t="shared" si="3"/>
        <v>167488.05742058781</v>
      </c>
      <c r="U39" s="143">
        <f t="shared" si="3"/>
        <v>156141.69914320542</v>
      </c>
      <c r="V39" s="143">
        <f t="shared" si="3"/>
        <v>144454.95011750155</v>
      </c>
      <c r="W39" s="143">
        <f t="shared" si="3"/>
        <v>196617.59862102655</v>
      </c>
      <c r="X39" s="143">
        <f t="shared" si="3"/>
        <v>216319.12657965731</v>
      </c>
      <c r="Y39" s="143">
        <f t="shared" si="3"/>
        <v>235648.700377047</v>
      </c>
      <c r="Z39" s="143">
        <f t="shared" si="3"/>
        <v>254595.16138835839</v>
      </c>
      <c r="AA39" s="143">
        <f t="shared" si="3"/>
        <v>241047.01623000915</v>
      </c>
      <c r="AB39" s="143">
        <f t="shared" si="3"/>
        <v>227092.42671690939</v>
      </c>
      <c r="AC39" s="143">
        <f t="shared" si="3"/>
        <v>212719.19951841666</v>
      </c>
      <c r="AD39" s="143">
        <f t="shared" si="3"/>
        <v>230014.77550396917</v>
      </c>
      <c r="AE39" s="143">
        <f t="shared" si="3"/>
        <v>246866.21876908821</v>
      </c>
      <c r="AF39" s="143">
        <f t="shared" si="3"/>
        <v>263260.20533216081</v>
      </c>
      <c r="AG39" s="143">
        <f t="shared" si="3"/>
        <v>247083.01149212557</v>
      </c>
      <c r="AH39" s="143">
        <f t="shared" si="3"/>
        <v>262520.50183688931</v>
      </c>
      <c r="AI39" s="143">
        <f t="shared" si="3"/>
        <v>277458.116891996</v>
      </c>
      <c r="AJ39" s="143">
        <f t="shared" si="3"/>
        <v>259780.86039875587</v>
      </c>
      <c r="AK39" s="143">
        <f t="shared" si="3"/>
        <v>273673.28621071856</v>
      </c>
      <c r="AL39" s="143">
        <f t="shared" si="3"/>
        <v>254919.48479704012</v>
      </c>
      <c r="AM39" s="143">
        <f t="shared" si="3"/>
        <v>235603.06934095128</v>
      </c>
    </row>
    <row r="40" spans="1:48" ht="21.95" customHeight="1">
      <c r="A40" s="90" t="s">
        <v>96</v>
      </c>
      <c r="B40" s="187"/>
      <c r="C40" s="187"/>
      <c r="D40" s="187"/>
      <c r="E40" s="187"/>
      <c r="F40" s="195">
        <f>F35</f>
        <v>35470.36</v>
      </c>
      <c r="G40" s="195">
        <f t="shared" ref="G40:AL40" si="4">G35</f>
        <v>150840</v>
      </c>
      <c r="H40" s="195"/>
      <c r="I40" s="195">
        <v>191886</v>
      </c>
      <c r="J40" s="195">
        <f>J35</f>
        <v>190000</v>
      </c>
      <c r="K40" s="195">
        <f>K35</f>
        <v>76137.13</v>
      </c>
      <c r="L40" s="195">
        <f t="shared" si="4"/>
        <v>357929.26410000003</v>
      </c>
      <c r="M40" s="195">
        <f t="shared" si="4"/>
        <v>204706.020743</v>
      </c>
      <c r="N40" s="195">
        <f t="shared" si="4"/>
        <v>253902.25257528998</v>
      </c>
      <c r="O40" s="195">
        <f t="shared" si="4"/>
        <v>407286.82828004414</v>
      </c>
      <c r="P40" s="195">
        <f t="shared" si="4"/>
        <v>147933.91623585296</v>
      </c>
      <c r="Q40" s="195">
        <f t="shared" si="4"/>
        <v>77318.203002961323</v>
      </c>
      <c r="R40" s="195">
        <f t="shared" si="4"/>
        <v>23158.745690161828</v>
      </c>
      <c r="S40" s="195">
        <f t="shared" si="4"/>
        <v>86974.8756608736</v>
      </c>
      <c r="T40" s="63">
        <f t="shared" si="4"/>
        <v>70164.53024917726</v>
      </c>
      <c r="U40" s="63">
        <f t="shared" si="4"/>
        <v>36133.276982114789</v>
      </c>
      <c r="V40" s="63">
        <f t="shared" si="4"/>
        <v>91039.702477706232</v>
      </c>
      <c r="W40" s="63">
        <f t="shared" si="4"/>
        <v>33465.011300523285</v>
      </c>
      <c r="X40" s="63">
        <f t="shared" si="4"/>
        <v>40248.499988669646</v>
      </c>
      <c r="Y40" s="63">
        <f>Y35</f>
        <v>125524.94700710368</v>
      </c>
      <c r="Z40" s="63">
        <f>Z35</f>
        <v>579992.68710512214</v>
      </c>
      <c r="AA40" s="63">
        <f>AA35</f>
        <v>59252.531335437321</v>
      </c>
      <c r="AB40" s="63">
        <f t="shared" si="4"/>
        <v>136545.58728651158</v>
      </c>
      <c r="AC40" s="63">
        <f t="shared" si="4"/>
        <v>53673.066778636959</v>
      </c>
      <c r="AD40" s="63">
        <f t="shared" si="4"/>
        <v>111272.70705674788</v>
      </c>
      <c r="AE40" s="63">
        <f t="shared" si="4"/>
        <v>23335.865111266037</v>
      </c>
      <c r="AF40" s="63">
        <f t="shared" si="4"/>
        <v>375575.6898608458</v>
      </c>
      <c r="AG40" s="63">
        <f t="shared" si="4"/>
        <v>81961.647141584021</v>
      </c>
      <c r="AH40" s="63">
        <f t="shared" si="4"/>
        <v>93332.692206969659</v>
      </c>
      <c r="AI40" s="63">
        <f>AI35</f>
        <v>108057.78517152433</v>
      </c>
      <c r="AJ40" s="63">
        <f t="shared" si="4"/>
        <v>253121.35984947585</v>
      </c>
      <c r="AK40" s="63">
        <f t="shared" si="4"/>
        <v>156889.72655666785</v>
      </c>
      <c r="AL40" s="63">
        <f t="shared" si="4"/>
        <v>129377.9004531003</v>
      </c>
      <c r="AM40" s="63">
        <f>AM35</f>
        <v>23565.655060093781</v>
      </c>
    </row>
    <row r="41" spans="1:48" ht="21.95" customHeight="1">
      <c r="A41" s="182" t="s">
        <v>110</v>
      </c>
      <c r="B41" s="183"/>
      <c r="C41" s="183"/>
      <c r="D41" s="183"/>
      <c r="E41" s="183"/>
      <c r="F41" s="184">
        <f>F39+F38-F35</f>
        <v>96619.64</v>
      </c>
      <c r="G41" s="184">
        <f>G38+G39-G40</f>
        <v>135865</v>
      </c>
      <c r="H41" s="184"/>
      <c r="I41" s="184">
        <f t="shared" ref="I41:AM41" si="5">I38+I39-I40</f>
        <v>84400</v>
      </c>
      <c r="J41" s="184">
        <f t="shared" si="5"/>
        <v>95261</v>
      </c>
      <c r="K41" s="184">
        <f t="shared" si="5"/>
        <v>315549.27</v>
      </c>
      <c r="L41" s="184">
        <f t="shared" si="5"/>
        <v>204756.00589999999</v>
      </c>
      <c r="M41" s="184">
        <f t="shared" si="5"/>
        <v>275329.06515699998</v>
      </c>
      <c r="N41" s="184">
        <f t="shared" si="5"/>
        <v>282480.26498171006</v>
      </c>
      <c r="O41" s="184">
        <f t="shared" si="5"/>
        <v>126744.49267366587</v>
      </c>
      <c r="P41" s="184">
        <f t="shared" si="5"/>
        <v>220574.16408897293</v>
      </c>
      <c r="Q41" s="184">
        <f t="shared" si="5"/>
        <v>342838.45636670641</v>
      </c>
      <c r="R41" s="184">
        <f t="shared" si="5"/>
        <v>508878.68081566016</v>
      </c>
      <c r="S41" s="184">
        <f t="shared" si="5"/>
        <v>600407.74439807574</v>
      </c>
      <c r="T41" s="168">
        <f t="shared" si="5"/>
        <v>697731.27156948624</v>
      </c>
      <c r="U41" s="168">
        <f t="shared" si="5"/>
        <v>817739.6937305769</v>
      </c>
      <c r="V41" s="168">
        <f t="shared" si="5"/>
        <v>871154.94137037219</v>
      </c>
      <c r="W41" s="168">
        <f t="shared" si="5"/>
        <v>1034307.5286908755</v>
      </c>
      <c r="X41" s="168">
        <f t="shared" si="5"/>
        <v>1210378.1552818632</v>
      </c>
      <c r="Y41" s="168">
        <f t="shared" si="5"/>
        <v>1320501.9086518066</v>
      </c>
      <c r="Z41" s="168">
        <f t="shared" si="5"/>
        <v>995104.38293504284</v>
      </c>
      <c r="AA41" s="168">
        <f t="shared" si="5"/>
        <v>1176898.8678296148</v>
      </c>
      <c r="AB41" s="168">
        <f t="shared" si="5"/>
        <v>1267445.7072600124</v>
      </c>
      <c r="AC41" s="168">
        <f t="shared" si="5"/>
        <v>1426491.8399997922</v>
      </c>
      <c r="AD41" s="168">
        <f t="shared" si="5"/>
        <v>1545233.9084470135</v>
      </c>
      <c r="AE41" s="168">
        <f t="shared" si="5"/>
        <v>1768764.2621048356</v>
      </c>
      <c r="AF41" s="168">
        <f t="shared" si="5"/>
        <v>1656448.7775761504</v>
      </c>
      <c r="AG41" s="168">
        <f t="shared" si="5"/>
        <v>1821570.1419266921</v>
      </c>
      <c r="AH41" s="168">
        <f t="shared" si="5"/>
        <v>1990757.9515566116</v>
      </c>
      <c r="AI41" s="168">
        <f t="shared" si="5"/>
        <v>2160158.2832770837</v>
      </c>
      <c r="AJ41" s="168">
        <f t="shared" si="5"/>
        <v>2166817.7838263637</v>
      </c>
      <c r="AK41" s="168">
        <f t="shared" si="5"/>
        <v>2283601.3434804142</v>
      </c>
      <c r="AL41" s="168">
        <f t="shared" si="5"/>
        <v>2409142.9278243538</v>
      </c>
      <c r="AM41" s="168">
        <f t="shared" si="5"/>
        <v>2621180.3421052112</v>
      </c>
    </row>
    <row r="42" spans="1:48" ht="21.95" customHeight="1">
      <c r="A42" s="90"/>
      <c r="B42" s="185"/>
      <c r="C42" s="185"/>
      <c r="D42" s="185"/>
      <c r="E42" s="185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</row>
    <row r="43" spans="1:48" ht="19.899999999999999" customHeight="1">
      <c r="A43" s="90" t="s">
        <v>111</v>
      </c>
      <c r="B43" s="187"/>
      <c r="C43" s="187"/>
      <c r="D43" s="187"/>
      <c r="E43" s="195"/>
      <c r="F43" s="195">
        <v>1300</v>
      </c>
      <c r="G43" s="195">
        <v>1500</v>
      </c>
      <c r="H43" s="195"/>
      <c r="I43" s="195">
        <v>1500</v>
      </c>
      <c r="J43" s="195">
        <v>1500</v>
      </c>
      <c r="K43" s="195">
        <v>1700</v>
      </c>
      <c r="L43" s="195">
        <v>1700</v>
      </c>
      <c r="M43" s="195">
        <v>1800</v>
      </c>
      <c r="N43" s="195">
        <v>1800</v>
      </c>
      <c r="O43" s="195">
        <v>1800</v>
      </c>
      <c r="P43" s="195">
        <v>1800</v>
      </c>
      <c r="Q43" s="195">
        <v>1700</v>
      </c>
      <c r="R43" s="195">
        <v>1700</v>
      </c>
      <c r="S43" s="195">
        <v>1700</v>
      </c>
      <c r="T43" s="63">
        <v>1700</v>
      </c>
      <c r="U43" s="63">
        <v>1700</v>
      </c>
      <c r="V43" s="63">
        <v>1700</v>
      </c>
      <c r="W43" s="63">
        <v>1900</v>
      </c>
      <c r="X43" s="63">
        <v>2000</v>
      </c>
      <c r="Y43" s="63">
        <v>2100</v>
      </c>
      <c r="Z43" s="63">
        <v>2200</v>
      </c>
      <c r="AA43" s="63">
        <v>2200</v>
      </c>
      <c r="AB43" s="63">
        <v>2200</v>
      </c>
      <c r="AC43" s="63">
        <v>2200</v>
      </c>
      <c r="AD43" s="63">
        <v>2300</v>
      </c>
      <c r="AE43" s="63">
        <v>2400</v>
      </c>
      <c r="AF43" s="63">
        <v>2500</v>
      </c>
      <c r="AG43" s="63">
        <v>2500</v>
      </c>
      <c r="AH43" s="63">
        <v>2600</v>
      </c>
      <c r="AI43" s="63">
        <v>2700</v>
      </c>
      <c r="AJ43" s="63">
        <v>2700</v>
      </c>
      <c r="AK43" s="63">
        <v>2800</v>
      </c>
      <c r="AL43" s="63">
        <v>2800</v>
      </c>
      <c r="AM43" s="63">
        <v>2800</v>
      </c>
    </row>
    <row r="44" spans="1:48" ht="20.45" hidden="1" customHeight="1">
      <c r="A44" s="188" t="s">
        <v>101</v>
      </c>
      <c r="B44" s="187"/>
      <c r="C44" s="187"/>
      <c r="D44" s="187"/>
      <c r="E44" s="187"/>
      <c r="F44" s="199">
        <f>F43+F59</f>
        <v>1300</v>
      </c>
      <c r="G44" s="199">
        <f>G43+G59</f>
        <v>1500</v>
      </c>
      <c r="H44" s="199"/>
      <c r="I44" s="199">
        <f t="shared" ref="I44:AM44" si="6">I43+I59</f>
        <v>1500</v>
      </c>
      <c r="J44" s="199"/>
      <c r="K44" s="199">
        <f t="shared" si="6"/>
        <v>1700</v>
      </c>
      <c r="L44" s="199">
        <f t="shared" si="6"/>
        <v>1700</v>
      </c>
      <c r="M44" s="199">
        <f t="shared" si="6"/>
        <v>1800</v>
      </c>
      <c r="N44" s="199">
        <f t="shared" si="6"/>
        <v>1800</v>
      </c>
      <c r="O44" s="199">
        <f t="shared" si="6"/>
        <v>1800</v>
      </c>
      <c r="P44" s="199">
        <f t="shared" si="6"/>
        <v>1800</v>
      </c>
      <c r="Q44" s="199">
        <f t="shared" si="6"/>
        <v>1700</v>
      </c>
      <c r="R44" s="199">
        <f t="shared" si="6"/>
        <v>1700</v>
      </c>
      <c r="S44" s="199">
        <f t="shared" si="6"/>
        <v>1700</v>
      </c>
      <c r="T44" s="65">
        <f t="shared" si="6"/>
        <v>1700</v>
      </c>
      <c r="U44" s="65">
        <f t="shared" si="6"/>
        <v>1700</v>
      </c>
      <c r="V44" s="65">
        <f t="shared" si="6"/>
        <v>1700</v>
      </c>
      <c r="W44" s="65">
        <f t="shared" si="6"/>
        <v>1900</v>
      </c>
      <c r="X44" s="65">
        <f t="shared" si="6"/>
        <v>2000</v>
      </c>
      <c r="Y44" s="65">
        <f t="shared" si="6"/>
        <v>2100</v>
      </c>
      <c r="Z44" s="65">
        <f t="shared" si="6"/>
        <v>2200</v>
      </c>
      <c r="AA44" s="65">
        <f t="shared" si="6"/>
        <v>2200</v>
      </c>
      <c r="AB44" s="65">
        <f t="shared" si="6"/>
        <v>2200</v>
      </c>
      <c r="AC44" s="65">
        <f t="shared" si="6"/>
        <v>2200</v>
      </c>
      <c r="AD44" s="65">
        <f t="shared" si="6"/>
        <v>2300</v>
      </c>
      <c r="AE44" s="65">
        <f t="shared" si="6"/>
        <v>2400</v>
      </c>
      <c r="AF44" s="65">
        <f t="shared" si="6"/>
        <v>2500</v>
      </c>
      <c r="AG44" s="65">
        <f t="shared" si="6"/>
        <v>2500</v>
      </c>
      <c r="AH44" s="65">
        <f t="shared" si="6"/>
        <v>2600</v>
      </c>
      <c r="AI44" s="65">
        <f t="shared" si="6"/>
        <v>2700</v>
      </c>
      <c r="AJ44" s="65">
        <f t="shared" si="6"/>
        <v>2700</v>
      </c>
      <c r="AK44" s="65">
        <f t="shared" si="6"/>
        <v>2800</v>
      </c>
      <c r="AL44" s="65">
        <f t="shared" si="6"/>
        <v>2800</v>
      </c>
      <c r="AM44" s="65">
        <f t="shared" si="6"/>
        <v>2800</v>
      </c>
    </row>
    <row r="45" spans="1:48" ht="20.45" hidden="1" customHeight="1">
      <c r="A45" s="188" t="s">
        <v>102</v>
      </c>
      <c r="B45" s="187"/>
      <c r="C45" s="187"/>
      <c r="D45" s="187"/>
      <c r="E45" s="187"/>
      <c r="F45" s="199">
        <f>F44</f>
        <v>1300</v>
      </c>
      <c r="G45" s="199">
        <f>F45*(1+$K$1)</f>
        <v>1339</v>
      </c>
      <c r="H45" s="199"/>
      <c r="I45" s="199">
        <f>G45*(1+$K$1)</f>
        <v>1379.17</v>
      </c>
      <c r="J45" s="199"/>
      <c r="K45" s="199">
        <f>I45*(1+$K$1)</f>
        <v>1420.5451</v>
      </c>
      <c r="L45" s="199">
        <f t="shared" ref="L45:AM45" si="7">K45*(1+$K$1)</f>
        <v>1463.1614530000002</v>
      </c>
      <c r="M45" s="199">
        <f t="shared" si="7"/>
        <v>1507.0562965900001</v>
      </c>
      <c r="N45" s="199">
        <f t="shared" si="7"/>
        <v>1552.2679854877001</v>
      </c>
      <c r="O45" s="199">
        <f t="shared" si="7"/>
        <v>1598.8360250523313</v>
      </c>
      <c r="P45" s="199">
        <f t="shared" si="7"/>
        <v>1646.8011058039012</v>
      </c>
      <c r="Q45" s="199">
        <f t="shared" si="7"/>
        <v>1696.2051389780183</v>
      </c>
      <c r="R45" s="199">
        <f t="shared" si="7"/>
        <v>1747.091293147359</v>
      </c>
      <c r="S45" s="199">
        <f t="shared" si="7"/>
        <v>1799.5040319417799</v>
      </c>
      <c r="T45" s="65">
        <f t="shared" si="7"/>
        <v>1853.4891529000333</v>
      </c>
      <c r="U45" s="65">
        <f t="shared" si="7"/>
        <v>1909.0938274870343</v>
      </c>
      <c r="V45" s="65">
        <f t="shared" si="7"/>
        <v>1966.3666423116454</v>
      </c>
      <c r="W45" s="65">
        <f t="shared" si="7"/>
        <v>2025.3576415809948</v>
      </c>
      <c r="X45" s="65">
        <f t="shared" si="7"/>
        <v>2086.1183708284248</v>
      </c>
      <c r="Y45" s="65">
        <f t="shared" si="7"/>
        <v>2148.7019219532776</v>
      </c>
      <c r="Z45" s="65">
        <f t="shared" si="7"/>
        <v>2213.1629796118759</v>
      </c>
      <c r="AA45" s="65">
        <f t="shared" si="7"/>
        <v>2279.5578690002321</v>
      </c>
      <c r="AB45" s="65">
        <f t="shared" si="7"/>
        <v>2347.944605070239</v>
      </c>
      <c r="AC45" s="65">
        <f t="shared" si="7"/>
        <v>2418.3829432223461</v>
      </c>
      <c r="AD45" s="65">
        <f t="shared" si="7"/>
        <v>2490.9344315190165</v>
      </c>
      <c r="AE45" s="65">
        <f t="shared" si="7"/>
        <v>2565.6624644645872</v>
      </c>
      <c r="AF45" s="65">
        <f t="shared" si="7"/>
        <v>2642.632338398525</v>
      </c>
      <c r="AG45" s="65">
        <f t="shared" si="7"/>
        <v>2721.911308550481</v>
      </c>
      <c r="AH45" s="65">
        <f t="shared" si="7"/>
        <v>2803.5686478069956</v>
      </c>
      <c r="AI45" s="65">
        <f t="shared" si="7"/>
        <v>2887.6757072412056</v>
      </c>
      <c r="AJ45" s="65">
        <f t="shared" si="7"/>
        <v>2974.305978458442</v>
      </c>
      <c r="AK45" s="65">
        <f t="shared" si="7"/>
        <v>3063.5351578121954</v>
      </c>
      <c r="AL45" s="65">
        <f t="shared" si="7"/>
        <v>3155.4412125465615</v>
      </c>
      <c r="AM45" s="65">
        <f t="shared" si="7"/>
        <v>3250.1044489229585</v>
      </c>
    </row>
    <row r="46" spans="1:48" ht="20.45" hidden="1" customHeight="1">
      <c r="A46" s="188"/>
      <c r="B46" s="187"/>
      <c r="C46" s="187"/>
      <c r="D46" s="187"/>
      <c r="E46" s="187"/>
      <c r="F46" s="199"/>
      <c r="G46" s="200">
        <f>G45-G44</f>
        <v>-161</v>
      </c>
      <c r="H46" s="200"/>
      <c r="I46" s="200">
        <f t="shared" ref="I46:AM46" si="8">I45-I44</f>
        <v>-120.82999999999993</v>
      </c>
      <c r="J46" s="200"/>
      <c r="K46" s="200">
        <f t="shared" si="8"/>
        <v>-279.45489999999995</v>
      </c>
      <c r="L46" s="200">
        <f t="shared" si="8"/>
        <v>-236.83854699999983</v>
      </c>
      <c r="M46" s="200">
        <f t="shared" si="8"/>
        <v>-292.9437034099999</v>
      </c>
      <c r="N46" s="200">
        <f t="shared" si="8"/>
        <v>-247.73201451229988</v>
      </c>
      <c r="O46" s="200">
        <f t="shared" si="8"/>
        <v>-201.16397494766875</v>
      </c>
      <c r="P46" s="200">
        <f t="shared" si="8"/>
        <v>-153.19889419609876</v>
      </c>
      <c r="Q46" s="200">
        <f t="shared" si="8"/>
        <v>-3.7948610219816601</v>
      </c>
      <c r="R46" s="200">
        <f t="shared" si="8"/>
        <v>47.091293147359011</v>
      </c>
      <c r="S46" s="200">
        <f t="shared" si="8"/>
        <v>99.504031941779886</v>
      </c>
      <c r="T46" s="66">
        <f t="shared" si="8"/>
        <v>153.48915290003333</v>
      </c>
      <c r="U46" s="66">
        <f t="shared" si="8"/>
        <v>209.09382748703433</v>
      </c>
      <c r="V46" s="66">
        <f t="shared" si="8"/>
        <v>266.36664231164536</v>
      </c>
      <c r="W46" s="66">
        <f t="shared" si="8"/>
        <v>125.35764158099482</v>
      </c>
      <c r="X46" s="66">
        <f t="shared" si="8"/>
        <v>86.118370828424759</v>
      </c>
      <c r="Y46" s="66">
        <f t="shared" si="8"/>
        <v>48.701921953277633</v>
      </c>
      <c r="Z46" s="66">
        <f t="shared" si="8"/>
        <v>13.162979611875926</v>
      </c>
      <c r="AA46" s="66">
        <f t="shared" si="8"/>
        <v>79.557869000232131</v>
      </c>
      <c r="AB46" s="66">
        <f t="shared" si="8"/>
        <v>147.94460507023905</v>
      </c>
      <c r="AC46" s="66">
        <f t="shared" si="8"/>
        <v>218.38294322234606</v>
      </c>
      <c r="AD46" s="66">
        <f t="shared" si="8"/>
        <v>190.93443151901647</v>
      </c>
      <c r="AE46" s="66">
        <f t="shared" si="8"/>
        <v>165.66246446458717</v>
      </c>
      <c r="AF46" s="66">
        <f t="shared" si="8"/>
        <v>142.63233839852501</v>
      </c>
      <c r="AG46" s="66">
        <f t="shared" si="8"/>
        <v>221.91130855048095</v>
      </c>
      <c r="AH46" s="66">
        <f t="shared" si="8"/>
        <v>203.56864780699561</v>
      </c>
      <c r="AI46" s="66">
        <f t="shared" si="8"/>
        <v>187.6757072412056</v>
      </c>
      <c r="AJ46" s="66">
        <f t="shared" si="8"/>
        <v>274.30597845844204</v>
      </c>
      <c r="AK46" s="66">
        <f t="shared" si="8"/>
        <v>263.53515781219539</v>
      </c>
      <c r="AL46" s="66">
        <f t="shared" si="8"/>
        <v>355.44121254656147</v>
      </c>
      <c r="AM46" s="66">
        <f t="shared" si="8"/>
        <v>450.10444892295845</v>
      </c>
    </row>
    <row r="47" spans="1:48" ht="15.75">
      <c r="A47" s="187"/>
      <c r="B47" s="187"/>
      <c r="C47" s="187"/>
      <c r="D47" s="187"/>
      <c r="E47" s="187"/>
      <c r="F47" s="189"/>
      <c r="G47" s="189"/>
      <c r="H47" s="189"/>
      <c r="I47" s="189"/>
      <c r="J47" s="189"/>
      <c r="K47" s="189"/>
      <c r="L47" s="189"/>
      <c r="M47" s="189"/>
      <c r="N47" s="189"/>
      <c r="O47" s="187"/>
      <c r="P47" s="187"/>
      <c r="Q47" s="187"/>
      <c r="R47" s="187"/>
      <c r="S47" s="187"/>
    </row>
    <row r="48" spans="1:48" ht="15.75">
      <c r="A48" s="187"/>
      <c r="B48" s="187"/>
      <c r="C48" s="187"/>
      <c r="D48" s="187"/>
      <c r="E48" s="187"/>
      <c r="F48" s="189"/>
      <c r="G48" s="189"/>
      <c r="H48" s="189"/>
      <c r="I48" s="189"/>
      <c r="J48" s="189"/>
      <c r="K48" s="189"/>
      <c r="L48" s="189"/>
      <c r="M48" s="189"/>
      <c r="N48" s="189"/>
      <c r="O48" s="187"/>
      <c r="P48" s="187"/>
      <c r="Q48" s="187"/>
      <c r="R48" s="187"/>
      <c r="S48" s="187"/>
      <c r="AS48" s="73" t="e">
        <f>#REF!/B56</f>
        <v>#REF!</v>
      </c>
    </row>
    <row r="49" spans="1:47" ht="18.75">
      <c r="A49" s="90" t="s">
        <v>97</v>
      </c>
      <c r="B49" s="187"/>
      <c r="C49" s="187"/>
      <c r="D49" s="187"/>
      <c r="E49" s="195"/>
      <c r="F49" s="195">
        <f>F43*321</f>
        <v>417300</v>
      </c>
      <c r="G49" s="195">
        <f>G43*321</f>
        <v>481500</v>
      </c>
      <c r="H49" s="195"/>
      <c r="I49" s="195">
        <f>I43*321</f>
        <v>481500</v>
      </c>
      <c r="J49" s="195">
        <f>J43*321</f>
        <v>481500</v>
      </c>
      <c r="K49" s="195">
        <f t="shared" ref="K49:AM49" si="9">K43*321</f>
        <v>545700</v>
      </c>
      <c r="L49" s="195">
        <f t="shared" si="9"/>
        <v>545700</v>
      </c>
      <c r="M49" s="195">
        <f t="shared" si="9"/>
        <v>577800</v>
      </c>
      <c r="N49" s="195">
        <f t="shared" si="9"/>
        <v>577800</v>
      </c>
      <c r="O49" s="195">
        <f t="shared" si="9"/>
        <v>577800</v>
      </c>
      <c r="P49" s="195">
        <f t="shared" si="9"/>
        <v>577800</v>
      </c>
      <c r="Q49" s="195">
        <f t="shared" si="9"/>
        <v>545700</v>
      </c>
      <c r="R49" s="195">
        <f t="shared" si="9"/>
        <v>545700</v>
      </c>
      <c r="S49" s="195">
        <f t="shared" si="9"/>
        <v>545700</v>
      </c>
      <c r="T49" s="63">
        <f t="shared" si="9"/>
        <v>545700</v>
      </c>
      <c r="U49" s="63">
        <f t="shared" si="9"/>
        <v>545700</v>
      </c>
      <c r="V49" s="63">
        <f t="shared" si="9"/>
        <v>545700</v>
      </c>
      <c r="W49" s="63">
        <f t="shared" si="9"/>
        <v>609900</v>
      </c>
      <c r="X49" s="63">
        <f t="shared" si="9"/>
        <v>642000</v>
      </c>
      <c r="Y49" s="63">
        <f t="shared" si="9"/>
        <v>674100</v>
      </c>
      <c r="Z49" s="63">
        <f t="shared" si="9"/>
        <v>706200</v>
      </c>
      <c r="AA49" s="63">
        <f t="shared" si="9"/>
        <v>706200</v>
      </c>
      <c r="AB49" s="63">
        <f t="shared" si="9"/>
        <v>706200</v>
      </c>
      <c r="AC49" s="63">
        <f t="shared" si="9"/>
        <v>706200</v>
      </c>
      <c r="AD49" s="63">
        <f t="shared" si="9"/>
        <v>738300</v>
      </c>
      <c r="AE49" s="63">
        <f t="shared" si="9"/>
        <v>770400</v>
      </c>
      <c r="AF49" s="63">
        <f t="shared" si="9"/>
        <v>802500</v>
      </c>
      <c r="AG49" s="63">
        <f t="shared" si="9"/>
        <v>802500</v>
      </c>
      <c r="AH49" s="63">
        <f t="shared" si="9"/>
        <v>834600</v>
      </c>
      <c r="AI49" s="63">
        <f t="shared" si="9"/>
        <v>866700</v>
      </c>
      <c r="AJ49" s="63">
        <f t="shared" si="9"/>
        <v>866700</v>
      </c>
      <c r="AK49" s="63">
        <f t="shared" si="9"/>
        <v>898800</v>
      </c>
      <c r="AL49" s="63">
        <f t="shared" si="9"/>
        <v>898800</v>
      </c>
      <c r="AM49" s="63">
        <f t="shared" si="9"/>
        <v>898800</v>
      </c>
    </row>
    <row r="50" spans="1:47" ht="18.75">
      <c r="A50" s="90" t="s">
        <v>98</v>
      </c>
      <c r="B50" s="187"/>
      <c r="C50" s="187"/>
      <c r="D50" s="187"/>
      <c r="E50" s="195"/>
      <c r="F50" s="195">
        <v>334425</v>
      </c>
      <c r="G50" s="195">
        <v>329200</v>
      </c>
      <c r="H50" s="195"/>
      <c r="I50" s="195">
        <v>283975</v>
      </c>
      <c r="J50" s="195">
        <v>275000</v>
      </c>
      <c r="K50" s="195">
        <v>299732</v>
      </c>
      <c r="L50" s="195">
        <f>SUM('Sch A1'!E16)</f>
        <v>298564</v>
      </c>
      <c r="M50" s="195">
        <f t="shared" ref="M50:AM50" si="10">L50*1.03</f>
        <v>307520.92</v>
      </c>
      <c r="N50" s="195">
        <f t="shared" si="10"/>
        <v>316746.54759999999</v>
      </c>
      <c r="O50" s="195">
        <f t="shared" si="10"/>
        <v>326248.944028</v>
      </c>
      <c r="P50" s="195">
        <f t="shared" si="10"/>
        <v>336036.41234883998</v>
      </c>
      <c r="Q50" s="195">
        <f t="shared" si="10"/>
        <v>346117.5047193052</v>
      </c>
      <c r="R50" s="195">
        <f t="shared" si="10"/>
        <v>356501.02986088436</v>
      </c>
      <c r="S50" s="195">
        <f t="shared" si="10"/>
        <v>367196.06075671088</v>
      </c>
      <c r="T50" s="63">
        <f t="shared" si="10"/>
        <v>378211.94257941219</v>
      </c>
      <c r="U50" s="63">
        <f t="shared" si="10"/>
        <v>389558.30085679458</v>
      </c>
      <c r="V50" s="63">
        <f t="shared" si="10"/>
        <v>401245.04988249845</v>
      </c>
      <c r="W50" s="63">
        <f t="shared" si="10"/>
        <v>413282.40137897345</v>
      </c>
      <c r="X50" s="63">
        <f t="shared" si="10"/>
        <v>425680.87342034269</v>
      </c>
      <c r="Y50" s="63">
        <f t="shared" si="10"/>
        <v>438451.299622953</v>
      </c>
      <c r="Z50" s="63">
        <f t="shared" si="10"/>
        <v>451604.83861164161</v>
      </c>
      <c r="AA50" s="63">
        <f t="shared" si="10"/>
        <v>465152.98376999085</v>
      </c>
      <c r="AB50" s="63">
        <f t="shared" si="10"/>
        <v>479107.57328309061</v>
      </c>
      <c r="AC50" s="63">
        <f t="shared" si="10"/>
        <v>493480.80048158334</v>
      </c>
      <c r="AD50" s="63">
        <f t="shared" si="10"/>
        <v>508285.22449603083</v>
      </c>
      <c r="AE50" s="63">
        <f t="shared" si="10"/>
        <v>523533.78123091179</v>
      </c>
      <c r="AF50" s="63">
        <f t="shared" si="10"/>
        <v>539239.79466783919</v>
      </c>
      <c r="AG50" s="63">
        <f t="shared" si="10"/>
        <v>555416.98850787443</v>
      </c>
      <c r="AH50" s="63">
        <f t="shared" si="10"/>
        <v>572079.49816311069</v>
      </c>
      <c r="AI50" s="63">
        <f t="shared" si="10"/>
        <v>589241.883108004</v>
      </c>
      <c r="AJ50" s="63">
        <f t="shared" si="10"/>
        <v>606919.13960124413</v>
      </c>
      <c r="AK50" s="63">
        <f t="shared" si="10"/>
        <v>625126.71378928144</v>
      </c>
      <c r="AL50" s="63">
        <f t="shared" si="10"/>
        <v>643880.51520295988</v>
      </c>
      <c r="AM50" s="63">
        <f t="shared" si="10"/>
        <v>663196.93065904872</v>
      </c>
    </row>
    <row r="51" spans="1:47" ht="18.75">
      <c r="A51" s="90" t="s">
        <v>99</v>
      </c>
      <c r="B51" s="187"/>
      <c r="C51" s="187"/>
      <c r="D51" s="187"/>
      <c r="E51" s="195"/>
      <c r="F51" s="195">
        <f>G71</f>
        <v>157276</v>
      </c>
      <c r="G51" s="195">
        <f t="shared" ref="G51:AL51" si="11">G49-G50</f>
        <v>152300</v>
      </c>
      <c r="H51" s="195"/>
      <c r="I51" s="195">
        <f t="shared" si="11"/>
        <v>197525</v>
      </c>
      <c r="J51" s="195">
        <f t="shared" si="11"/>
        <v>206500</v>
      </c>
      <c r="K51" s="195">
        <v>251343</v>
      </c>
      <c r="L51" s="195">
        <f t="shared" si="11"/>
        <v>247136</v>
      </c>
      <c r="M51" s="195">
        <f>M49-M50+5000</f>
        <v>275279.08</v>
      </c>
      <c r="N51" s="195">
        <f t="shared" si="11"/>
        <v>261053.45240000001</v>
      </c>
      <c r="O51" s="195">
        <f t="shared" si="11"/>
        <v>251551.055972</v>
      </c>
      <c r="P51" s="195">
        <f t="shared" si="11"/>
        <v>241763.58765116002</v>
      </c>
      <c r="Q51" s="195">
        <f t="shared" si="11"/>
        <v>199582.4952806948</v>
      </c>
      <c r="R51" s="195">
        <f t="shared" si="11"/>
        <v>189198.97013911564</v>
      </c>
      <c r="S51" s="195">
        <f t="shared" si="11"/>
        <v>178503.93924328912</v>
      </c>
      <c r="T51" s="63">
        <f t="shared" si="11"/>
        <v>167488.05742058781</v>
      </c>
      <c r="U51" s="63">
        <f t="shared" si="11"/>
        <v>156141.69914320542</v>
      </c>
      <c r="V51" s="63">
        <f t="shared" si="11"/>
        <v>144454.95011750155</v>
      </c>
      <c r="W51" s="63">
        <f t="shared" si="11"/>
        <v>196617.59862102655</v>
      </c>
      <c r="X51" s="63">
        <f t="shared" si="11"/>
        <v>216319.12657965731</v>
      </c>
      <c r="Y51" s="63">
        <f t="shared" si="11"/>
        <v>235648.700377047</v>
      </c>
      <c r="Z51" s="63">
        <f t="shared" si="11"/>
        <v>254595.16138835839</v>
      </c>
      <c r="AA51" s="63">
        <f t="shared" si="11"/>
        <v>241047.01623000915</v>
      </c>
      <c r="AB51" s="63">
        <f t="shared" si="11"/>
        <v>227092.42671690939</v>
      </c>
      <c r="AC51" s="63">
        <f t="shared" si="11"/>
        <v>212719.19951841666</v>
      </c>
      <c r="AD51" s="63">
        <f t="shared" si="11"/>
        <v>230014.77550396917</v>
      </c>
      <c r="AE51" s="63">
        <f t="shared" si="11"/>
        <v>246866.21876908821</v>
      </c>
      <c r="AF51" s="63">
        <f t="shared" si="11"/>
        <v>263260.20533216081</v>
      </c>
      <c r="AG51" s="63">
        <f t="shared" si="11"/>
        <v>247083.01149212557</v>
      </c>
      <c r="AH51" s="63">
        <f t="shared" si="11"/>
        <v>262520.50183688931</v>
      </c>
      <c r="AI51" s="63">
        <f t="shared" si="11"/>
        <v>277458.116891996</v>
      </c>
      <c r="AJ51" s="63">
        <f t="shared" si="11"/>
        <v>259780.86039875587</v>
      </c>
      <c r="AK51" s="63">
        <f t="shared" si="11"/>
        <v>273673.28621071856</v>
      </c>
      <c r="AL51" s="63">
        <f t="shared" si="11"/>
        <v>254919.48479704012</v>
      </c>
      <c r="AM51" s="63">
        <f>AM49-AM50</f>
        <v>235603.06934095128</v>
      </c>
    </row>
    <row r="52" spans="1:47" ht="18.75">
      <c r="A52" s="90" t="s">
        <v>100</v>
      </c>
      <c r="B52" s="187"/>
      <c r="C52" s="187"/>
      <c r="D52" s="187"/>
      <c r="E52" s="187"/>
      <c r="F52" s="195">
        <f>F50+F51</f>
        <v>491701</v>
      </c>
      <c r="G52" s="195">
        <f t="shared" ref="G52:AL52" si="12">G50+G51</f>
        <v>481500</v>
      </c>
      <c r="H52" s="195"/>
      <c r="I52" s="195">
        <f t="shared" si="12"/>
        <v>481500</v>
      </c>
      <c r="J52" s="195">
        <f t="shared" si="12"/>
        <v>481500</v>
      </c>
      <c r="K52" s="195">
        <f t="shared" si="12"/>
        <v>551075</v>
      </c>
      <c r="L52" s="195">
        <f t="shared" si="12"/>
        <v>545700</v>
      </c>
      <c r="M52" s="195">
        <f t="shared" si="12"/>
        <v>582800</v>
      </c>
      <c r="N52" s="195">
        <f t="shared" si="12"/>
        <v>577800</v>
      </c>
      <c r="O52" s="195">
        <f t="shared" si="12"/>
        <v>577800</v>
      </c>
      <c r="P52" s="195">
        <f t="shared" si="12"/>
        <v>577800</v>
      </c>
      <c r="Q52" s="195">
        <f t="shared" si="12"/>
        <v>545700</v>
      </c>
      <c r="R52" s="195">
        <f t="shared" si="12"/>
        <v>545700</v>
      </c>
      <c r="S52" s="195">
        <f t="shared" si="12"/>
        <v>545700</v>
      </c>
      <c r="T52" s="63">
        <f t="shared" si="12"/>
        <v>545700</v>
      </c>
      <c r="U52" s="63">
        <f t="shared" si="12"/>
        <v>545700</v>
      </c>
      <c r="V52" s="63">
        <f t="shared" si="12"/>
        <v>545700</v>
      </c>
      <c r="W52" s="63">
        <f t="shared" si="12"/>
        <v>609900</v>
      </c>
      <c r="X52" s="63">
        <f t="shared" si="12"/>
        <v>642000</v>
      </c>
      <c r="Y52" s="63">
        <f t="shared" si="12"/>
        <v>674100</v>
      </c>
      <c r="Z52" s="63">
        <f t="shared" si="12"/>
        <v>706200</v>
      </c>
      <c r="AA52" s="63">
        <f t="shared" si="12"/>
        <v>706200</v>
      </c>
      <c r="AB52" s="63">
        <f t="shared" si="12"/>
        <v>706200</v>
      </c>
      <c r="AC52" s="63">
        <f t="shared" si="12"/>
        <v>706200</v>
      </c>
      <c r="AD52" s="63">
        <f t="shared" si="12"/>
        <v>738300</v>
      </c>
      <c r="AE52" s="63">
        <f t="shared" si="12"/>
        <v>770400</v>
      </c>
      <c r="AF52" s="63">
        <f t="shared" si="12"/>
        <v>802500</v>
      </c>
      <c r="AG52" s="63">
        <f t="shared" si="12"/>
        <v>802500</v>
      </c>
      <c r="AH52" s="63">
        <f t="shared" si="12"/>
        <v>834600</v>
      </c>
      <c r="AI52" s="63">
        <f t="shared" si="12"/>
        <v>866700</v>
      </c>
      <c r="AJ52" s="63">
        <f t="shared" si="12"/>
        <v>866700</v>
      </c>
      <c r="AK52" s="63">
        <f t="shared" si="12"/>
        <v>898800</v>
      </c>
      <c r="AL52" s="63">
        <f t="shared" si="12"/>
        <v>898800</v>
      </c>
      <c r="AM52" s="63">
        <f>AM50+AM51</f>
        <v>898800</v>
      </c>
    </row>
    <row r="53" spans="1:47">
      <c r="A53" s="83"/>
      <c r="F53" s="179"/>
      <c r="G53" s="179"/>
      <c r="H53" s="179"/>
      <c r="I53" s="179"/>
      <c r="J53" s="179"/>
      <c r="K53" s="179"/>
      <c r="L53" s="179"/>
      <c r="M53" s="179"/>
      <c r="N53" s="179"/>
    </row>
    <row r="54" spans="1:47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</row>
    <row r="55" spans="1:47">
      <c r="A55" s="55"/>
      <c r="B55" s="55"/>
      <c r="C55" s="55"/>
      <c r="D55" s="55"/>
      <c r="E55" s="55"/>
      <c r="F55" s="65"/>
      <c r="G55" s="55"/>
      <c r="H55" s="55"/>
      <c r="I55" s="55"/>
      <c r="J55" s="55"/>
      <c r="K55" s="55"/>
      <c r="L55" s="55"/>
      <c r="M55" s="69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65"/>
      <c r="Z55" s="65"/>
      <c r="AA55" s="65"/>
      <c r="AB55" s="55"/>
      <c r="AC55" s="55"/>
      <c r="AD55" s="55"/>
      <c r="AE55" s="55"/>
      <c r="AF55" s="55"/>
      <c r="AG55" s="55"/>
      <c r="AH55" s="55"/>
      <c r="AS55" s="69"/>
      <c r="AT55" s="69"/>
      <c r="AU55" s="69"/>
    </row>
    <row r="56" spans="1:47">
      <c r="B56" s="70"/>
      <c r="F56" s="65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</row>
    <row r="57" spans="1:47">
      <c r="F57" s="65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</row>
    <row r="58" spans="1:47">
      <c r="F58" s="65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</row>
    <row r="59" spans="1:47"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</row>
    <row r="61" spans="1:47"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72"/>
    </row>
    <row r="65" spans="1:35"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</row>
    <row r="66" spans="1:35">
      <c r="I66" s="65"/>
      <c r="J66" s="65"/>
      <c r="K66" s="65"/>
      <c r="L66" s="65"/>
      <c r="M66" s="65"/>
      <c r="N66" s="65"/>
      <c r="O66" s="65"/>
      <c r="P66" s="65"/>
      <c r="Q66" s="65"/>
    </row>
    <row r="68" spans="1:35" ht="18">
      <c r="A68" s="67" t="s">
        <v>103</v>
      </c>
      <c r="B68" s="55"/>
      <c r="C68" s="55"/>
      <c r="D68" s="55"/>
      <c r="E68" s="55"/>
      <c r="F68" s="55"/>
      <c r="G68" s="68">
        <f>G49-G50</f>
        <v>152300</v>
      </c>
      <c r="H68" s="75"/>
      <c r="I68" s="75"/>
      <c r="J68" s="75"/>
      <c r="K68" s="55"/>
      <c r="L68" s="55"/>
      <c r="M68" s="55"/>
      <c r="N68" s="55"/>
      <c r="O68" s="55"/>
      <c r="P68" s="55"/>
      <c r="Q68" s="55"/>
      <c r="R68" s="55"/>
      <c r="S68" s="89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</row>
    <row r="69" spans="1:35" ht="18">
      <c r="A69" s="83" t="s">
        <v>122</v>
      </c>
      <c r="F69" s="54"/>
      <c r="G69" s="68">
        <v>0</v>
      </c>
      <c r="O69" s="56"/>
      <c r="AI69" s="54"/>
    </row>
    <row r="70" spans="1:35" ht="18">
      <c r="A70" s="83" t="s">
        <v>108</v>
      </c>
      <c r="F70" s="54"/>
      <c r="G70" s="68">
        <f>'[1]Sch A1'!D10+'[1]Sch A1'!D11+'[1]Sch A1'!D12+'[1]Sch A1'!D13+'[1]Sch A1'!D14</f>
        <v>4976</v>
      </c>
      <c r="O70" s="56"/>
      <c r="AI70" s="54"/>
    </row>
    <row r="71" spans="1:35" ht="18">
      <c r="A71" s="83" t="s">
        <v>117</v>
      </c>
      <c r="F71" s="54"/>
      <c r="G71" s="68">
        <f>G68-G69+G70</f>
        <v>157276</v>
      </c>
      <c r="O71" s="56"/>
      <c r="AI71" s="54"/>
    </row>
  </sheetData>
  <pageMargins left="0.16" right="0.16" top="0.16" bottom="0.19" header="0.16" footer="0.16"/>
  <pageSetup paperSize="512" scale="2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Sch A1</vt:lpstr>
      <vt:lpstr>Reserve Comparison</vt:lpstr>
      <vt:lpstr>_1E_MAINT1</vt:lpstr>
      <vt:lpstr>_2P_ESP1</vt:lpstr>
      <vt:lpstr>_3PY_MAINT1</vt:lpstr>
      <vt:lpstr>_7SCH_A1</vt:lpstr>
      <vt:lpstr>_8SCH_A1_WS</vt:lpstr>
      <vt:lpstr>_NUM2</vt:lpstr>
      <vt:lpstr>_NUM3</vt:lpstr>
      <vt:lpstr>_NUN1</vt:lpstr>
      <vt:lpstr>DATA2</vt:lpstr>
      <vt:lpstr>FREQ</vt:lpstr>
      <vt:lpstr>'Sch A1'!Print_Area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</dc:creator>
  <cp:lastModifiedBy>Barry Hart</cp:lastModifiedBy>
  <cp:lastPrinted>2022-10-21T17:08:32Z</cp:lastPrinted>
  <dcterms:created xsi:type="dcterms:W3CDTF">2001-08-21T19:40:13Z</dcterms:created>
  <dcterms:modified xsi:type="dcterms:W3CDTF">2022-10-21T17:10:16Z</dcterms:modified>
</cp:coreProperties>
</file>